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7490" tabRatio="797" activeTab="0"/>
  </bookViews>
  <sheets>
    <sheet name="CAPA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Sheet1" sheetId="17" r:id="rId17"/>
    <sheet name="Sheet2" sheetId="18" r:id="rId18"/>
  </sheets>
  <externalReferences>
    <externalReference r:id="rId21"/>
    <externalReference r:id="rId22"/>
  </externalReferences>
  <definedNames>
    <definedName name="anscount" hidden="1">1</definedName>
    <definedName name="_xlnm.Print_Area" localSheetId="15">'Avaliação'!$A$1:$N$69</definedName>
    <definedName name="_xlnm.Print_Area" localSheetId="13">'Balanço'!$A$1:$M$51</definedName>
    <definedName name="_xlnm.Print_Area" localSheetId="11">'Cash Flow'!$A$1:$M$23</definedName>
    <definedName name="_xlnm.Print_Area" localSheetId="3">'CMVMC'!$A$1:$M$29</definedName>
    <definedName name="_xlnm.Print_Area" localSheetId="10">'DR'!$A$1:$L$32</definedName>
    <definedName name="_xlnm.Print_Area" localSheetId="8">'Financiamento'!$A$1:$M$104</definedName>
    <definedName name="_xlnm.Print_Area" localSheetId="4">'FSE'!$A$1:$P$53</definedName>
    <definedName name="_xlnm.Print_Area" localSheetId="6">'FundoManeio'!$A$1:$M$27</definedName>
    <definedName name="_xlnm.Print_Area" localSheetId="5">'Gastos com Pessoal'!$A$1:$N$102</definedName>
    <definedName name="_xlnm.Print_Area" localSheetId="14">'Indicadores'!$A$1:$L$28</definedName>
    <definedName name="_xlnm.Print_Area" localSheetId="7">'Investimento'!$A$1:$M$168</definedName>
    <definedName name="_xlnm.Print_Area" localSheetId="12">'PlanoFinanceiro'!$A$1:$M$35</definedName>
    <definedName name="_xlnm.Print_Area" localSheetId="9">'Ponto Crítico'!$A$1:$L$13</definedName>
    <definedName name="_xlnm.Print_Area" localSheetId="1">'Pressupostos'!$A$1:$E$53</definedName>
    <definedName name="_xlnm.Print_Area" localSheetId="2">'VN'!$A$1:$M$88</definedName>
    <definedName name="Bu">'[1]INPUT'!$B$10</definedName>
    <definedName name="DC">'[1]INPUT'!$B$8</definedName>
    <definedName name="EXHIBIT_01">#REF!</definedName>
    <definedName name="EXHIBIT_02" localSheetId="9">#REF!</definedName>
    <definedName name="EXHIBIT_02">#REF!</definedName>
    <definedName name="EXHIBIT_05" localSheetId="9">#REF!</definedName>
    <definedName name="EXHIBIT_05">#REF!</definedName>
    <definedName name="EXHIBIT_06" localSheetId="9">#REF!</definedName>
    <definedName name="EXHIBIT_06">#REF!</definedName>
    <definedName name="EXHIBIT_07" localSheetId="9">#REF!</definedName>
    <definedName name="EXHIBIT_07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comments16.xml><?xml version="1.0" encoding="utf-8"?>
<comments xmlns="http://schemas.openxmlformats.org/spreadsheetml/2006/main">
  <authors>
    <author>Americo Andre Marco</author>
  </authors>
  <commentList>
    <comment ref="N9" authorId="0">
      <text>
        <r>
          <rPr>
            <b/>
            <sz val="9"/>
            <rFont val="Tahoma"/>
            <family val="2"/>
          </rPr>
          <t>Considerar Perpetuidade (S18) ou valor residual. Por defeiro está VR (S20)</t>
        </r>
        <r>
          <rPr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b/>
            <sz val="9"/>
            <rFont val="Tahoma"/>
            <family val="2"/>
          </rPr>
          <t>Considerar Perpetuidade (S38) ou valor residual. Por defeiro está VR (S40)</t>
        </r>
      </text>
    </comment>
    <comment ref="N51" authorId="0">
      <text>
        <r>
          <rPr>
            <b/>
            <sz val="9"/>
            <rFont val="Tahoma"/>
            <family val="2"/>
          </rPr>
          <t>Considerar Perpetuidade (S59) ou valor residual. Por defeiro está VR (S61
)</t>
        </r>
      </text>
    </comment>
    <comment ref="S61" authorId="0">
      <text>
        <r>
          <rPr>
            <sz val="9"/>
            <rFont val="Tahoma"/>
            <family val="2"/>
          </rPr>
          <t xml:space="preserve">Considerou-se Ativo N corrente+F. Maneio.
</t>
        </r>
      </text>
    </comment>
  </commentList>
</comments>
</file>

<file path=xl/comments2.xml><?xml version="1.0" encoding="utf-8"?>
<comments xmlns="http://schemas.openxmlformats.org/spreadsheetml/2006/main">
  <authors>
    <author>Americo Andre Marco</author>
  </authors>
  <commentList>
    <comment ref="A44" authorId="0">
      <text>
        <r>
          <rPr>
            <sz val="9"/>
            <rFont val="Tahoma"/>
            <family val="2"/>
          </rPr>
          <t>Para ver "clicar" duas vezes na célula</t>
        </r>
      </text>
    </comment>
  </commentList>
</comments>
</file>

<file path=xl/sharedStrings.xml><?xml version="1.0" encoding="utf-8"?>
<sst xmlns="http://schemas.openxmlformats.org/spreadsheetml/2006/main" count="648" uniqueCount="439">
  <si>
    <t>CF</t>
  </si>
  <si>
    <t>CF Acum</t>
  </si>
  <si>
    <t xml:space="preserve">Preço Unitário </t>
  </si>
  <si>
    <t>Anos</t>
  </si>
  <si>
    <t>Pressupostos Gerais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</si>
  <si>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</si>
  <si>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</si>
  <si>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</si>
  <si>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</si>
  <si>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</si>
  <si>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</si>
  <si>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</si>
  <si>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</si>
  <si>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</si>
  <si>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</si>
  <si>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</si>
  <si>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</si>
  <si>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</si>
  <si>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</si>
  <si>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</si>
  <si>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</si>
  <si>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</si>
  <si>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</si>
  <si>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</si>
  <si>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</si>
  <si>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</si>
  <si>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Comunicação</t>
  </si>
  <si>
    <t>Seguros</t>
  </si>
  <si>
    <t>Honorários</t>
  </si>
  <si>
    <t xml:space="preserve">Formação </t>
  </si>
  <si>
    <t>TOTAL</t>
  </si>
  <si>
    <t>Proveitos Financeiros</t>
  </si>
  <si>
    <t>Clientes</t>
  </si>
  <si>
    <t>Estado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</si>
  <si>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</si>
  <si>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</si>
  <si>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</si>
  <si>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</si>
  <si>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</si>
  <si>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</si>
  <si>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</si>
  <si>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</si>
  <si>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</si>
  <si>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</si>
  <si>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</si>
  <si>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</si>
  <si>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</si>
  <si>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</si>
  <si>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</si>
  <si>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</si>
  <si>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</si>
  <si>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</si>
  <si>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</si>
  <si>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Valor Mensal</t>
  </si>
  <si>
    <t>Serviço A</t>
  </si>
  <si>
    <t>Serviço B</t>
  </si>
  <si>
    <t>Serviço C</t>
  </si>
  <si>
    <t>Serviço D</t>
  </si>
  <si>
    <t>Segurança Social</t>
  </si>
  <si>
    <t>QUADRO RESUMO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</si>
  <si>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</si>
  <si>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</si>
  <si>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</si>
  <si>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</si>
  <si>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</si>
  <si>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 xml:space="preserve">   Fundo de Maneio</t>
  </si>
  <si>
    <t xml:space="preserve">   Capital Fixo</t>
  </si>
  <si>
    <t>Taxa de IRC</t>
  </si>
  <si>
    <t>CASH FLOW de Exploração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</si>
  <si>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</si>
  <si>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</si>
  <si>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</si>
  <si>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</si>
  <si>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</si>
  <si>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</si>
  <si>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</si>
  <si>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</si>
  <si>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</si>
  <si>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</si>
  <si>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</si>
  <si>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</si>
  <si>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</si>
  <si>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</si>
  <si>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Meios Libertos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</si>
  <si>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</si>
  <si>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</si>
  <si>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</si>
  <si>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</si>
  <si>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</si>
  <si>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</si>
  <si>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</si>
  <si>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</si>
  <si>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</si>
  <si>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dos Capitais Próprios (ROE)</t>
  </si>
  <si>
    <t>INDICADORES DE RISCO NEGÓCIO</t>
  </si>
  <si>
    <t>Free Cash Flow to Firm</t>
  </si>
  <si>
    <t>Ano 6</t>
  </si>
  <si>
    <t>Tx IVA</t>
  </si>
  <si>
    <t>Produto A *</t>
  </si>
  <si>
    <t>Produto B *</t>
  </si>
  <si>
    <t>Produto C *</t>
  </si>
  <si>
    <t>Produto D *</t>
  </si>
  <si>
    <t>IVA VENDAS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</si>
  <si>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</si>
  <si>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</si>
  <si>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</si>
  <si>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</si>
  <si>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</si>
  <si>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</si>
  <si>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</si>
  <si>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</si>
  <si>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</si>
  <si>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</si>
  <si>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</si>
  <si>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</si>
  <si>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</si>
  <si>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Empréstimos Obtidos</t>
  </si>
  <si>
    <t>Imposto Selo (0,4%)</t>
  </si>
  <si>
    <t>Investimento em Fundo Maneio Necessário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</si>
  <si>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</si>
  <si>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</si>
  <si>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</si>
  <si>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</si>
  <si>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</si>
  <si>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</si>
  <si>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</si>
  <si>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</si>
  <si>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Gerência / Administração</t>
  </si>
  <si>
    <t>Fundo Maneio Necessário</t>
  </si>
  <si>
    <t>* A considerar caso seja necessário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</si>
  <si>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</si>
  <si>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</si>
  <si>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</si>
  <si>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</si>
  <si>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</si>
  <si>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Capital Próprio</t>
  </si>
  <si>
    <t>Euros</t>
  </si>
  <si>
    <t>MERCADO NACIONAL</t>
  </si>
  <si>
    <t>MERCADO EXTERNO</t>
  </si>
  <si>
    <t>Comercial / Marketing</t>
  </si>
  <si>
    <t>Produção / Operacional</t>
  </si>
  <si>
    <t>Qualidade</t>
  </si>
  <si>
    <t>Manutenção</t>
  </si>
  <si>
    <t>Aprovisionamento</t>
  </si>
  <si>
    <t>Outros</t>
  </si>
  <si>
    <t xml:space="preserve">   Edificios e Outras Construções</t>
  </si>
  <si>
    <t>Total Investimento</t>
  </si>
  <si>
    <t>Taxa de Aplicações Financeiras Curto Prazo</t>
  </si>
  <si>
    <t>Taxa de IVA - Investimento</t>
  </si>
  <si>
    <t>% Capital Próprio</t>
  </si>
  <si>
    <t>Passivo Remunerado</t>
  </si>
  <si>
    <t>ESTADO</t>
  </si>
  <si>
    <t>SS</t>
  </si>
  <si>
    <t>IRS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</si>
  <si>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</si>
  <si>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</si>
  <si>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</si>
  <si>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</si>
  <si>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</si>
  <si>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</si>
  <si>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</si>
  <si>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</si>
  <si>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</si>
  <si>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</si>
  <si>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</si>
  <si>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EXPORTAÇÕES</t>
  </si>
  <si>
    <t>IVA PRESTAÇÕES DE SERVIÇOS</t>
  </si>
  <si>
    <t>RESULTADO LÍQUIDO DO PERÍODO</t>
  </si>
  <si>
    <t>Subsídios à Exploração</t>
  </si>
  <si>
    <t>EBIT (Resultado Operacional)</t>
  </si>
  <si>
    <t>RESULTADO ANTES DE IMPOSTOS</t>
  </si>
  <si>
    <t>TOTAL DO CAPITAL PRÓPRIO</t>
  </si>
  <si>
    <t>Provisões</t>
  </si>
  <si>
    <t>Financiamentos Obtidos</t>
  </si>
  <si>
    <t>Activos Intangíveis</t>
  </si>
  <si>
    <t>Inventários</t>
  </si>
  <si>
    <t>Diferimentos</t>
  </si>
  <si>
    <t>Total Activos Intangíveis</t>
  </si>
  <si>
    <t>Total Activos Fixos Tangíveis</t>
  </si>
  <si>
    <t>Projectos de desenvolvimento</t>
  </si>
  <si>
    <t>Programas de computador</t>
  </si>
  <si>
    <t>Propriedade industrial</t>
  </si>
  <si>
    <t>Outros activos intangíveis</t>
  </si>
  <si>
    <t>Perdas por imparidade</t>
  </si>
  <si>
    <t>Materiais</t>
  </si>
  <si>
    <t>Combustíveis</t>
  </si>
  <si>
    <t>Água</t>
  </si>
  <si>
    <t>Deslocações e Estadas</t>
  </si>
  <si>
    <t>Remunerações</t>
  </si>
  <si>
    <t>Órgãos Sociais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</si>
  <si>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</si>
  <si>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</si>
  <si>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</si>
  <si>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</si>
  <si>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</si>
  <si>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</si>
  <si>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</si>
  <si>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</si>
  <si>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</si>
  <si>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</si>
  <si>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</si>
  <si>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</si>
  <si>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</si>
  <si>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 xml:space="preserve">Valores Acumulados </t>
  </si>
  <si>
    <t>Valores Balanço</t>
  </si>
  <si>
    <t>Reservas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</si>
  <si>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</si>
  <si>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</si>
  <si>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</si>
  <si>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</si>
  <si>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 xml:space="preserve">Investimento </t>
  </si>
  <si>
    <t>Liquidez Corrente</t>
  </si>
  <si>
    <t>Grau de Alavanca Financeira</t>
  </si>
  <si>
    <t>Terrenos e Recursos Naturais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</si>
  <si>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</si>
  <si>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</si>
  <si>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</si>
  <si>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</si>
  <si>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</si>
  <si>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</si>
  <si>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</si>
  <si>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Valor Residual ano N</t>
  </si>
  <si>
    <t>ou</t>
  </si>
  <si>
    <t>TOTAL PRESTAÇÕES DE SERVIÇOS-MERCADO NACIONAL</t>
  </si>
  <si>
    <t>meses</t>
  </si>
  <si>
    <t>IAPMEI</t>
  </si>
  <si>
    <t>Folha Investimento - Linha 31</t>
  </si>
  <si>
    <t>Início da Produção ano/ meses de produção (DEPRECIAÇÕES)</t>
  </si>
  <si>
    <t>Considera-se Bu = Bu ano inicial, não influenciado por oscilações sucessivas da estrutura de capital</t>
  </si>
  <si>
    <t>Meses</t>
  </si>
  <si>
    <t>Taxa de Juro de Empréstimo Curto Prazo</t>
  </si>
  <si>
    <t>Taxa de Juro de Empréstimo ML Prazo</t>
  </si>
  <si>
    <t>Taxa de Juro de Ativos sem Risco - Rf (Obrig Tesouro)</t>
  </si>
  <si>
    <t>Taxa de Crescimento dos cash flows na perpetuidade</t>
  </si>
  <si>
    <t>* Rendimento esperado de mercado (entenda-se mercado acionista de referência).</t>
  </si>
  <si>
    <t>Ano Inicial do Projeto (Ano 0)</t>
  </si>
  <si>
    <t>Prazo Médio de Recebimento (dias) / (meses)</t>
  </si>
  <si>
    <t>Prazo Médio de Pagamento (dias) / (meses)</t>
  </si>
  <si>
    <t>Prazo Médio de Stockagem (dias) / (meses)</t>
  </si>
  <si>
    <t>Quantidades Vendidas</t>
  </si>
  <si>
    <t>Taxa de Crescimento das Unidades Vendidas</t>
  </si>
  <si>
    <t>* Produtos / Famílias de Produtos / Mercadorias</t>
  </si>
  <si>
    <t>NOTA: Caso não tenha conhecimento das quantidades, colocar o valor das vendas na linha das 'Quantidades Vendidas' e o valor 1 na linha do 'Preço Unitário'.</t>
  </si>
  <si>
    <t xml:space="preserve">Taxa de Crescimento </t>
  </si>
  <si>
    <t>Reflete-se na Dívida de Clientes, no Fundo de Maneio, na Demonstração de Resultados e no Balanço.  ACONSELHA-SE NÃO UTILIZAR =&gt; colocar 0%</t>
  </si>
  <si>
    <t>Taxa de Variação dos Preços</t>
  </si>
  <si>
    <t>Serviços Especializados</t>
  </si>
  <si>
    <t>Trabalhos Especializados</t>
  </si>
  <si>
    <t>Publicidade e Propaganda</t>
  </si>
  <si>
    <t>Vigilância e Segurança</t>
  </si>
  <si>
    <t>Conservação e Reparação</t>
  </si>
  <si>
    <t>Ferramentas e Utensílios de Desgaste Rápido</t>
  </si>
  <si>
    <t>Livros e Documentação Técnica</t>
  </si>
  <si>
    <t>Material de Escritório</t>
  </si>
  <si>
    <t>Artigos para Oferta</t>
  </si>
  <si>
    <t>Energia e Fluidos</t>
  </si>
  <si>
    <t>Eletricidade</t>
  </si>
  <si>
    <t>Deslocações, Estadas e Transportes</t>
  </si>
  <si>
    <t>Transportes de Pessoal</t>
  </si>
  <si>
    <t>Transportes de Mercadorias</t>
  </si>
  <si>
    <t>Serviços Diversos</t>
  </si>
  <si>
    <t>Rendas e Alugueres</t>
  </si>
  <si>
    <t>Contencioso e Notariado</t>
  </si>
  <si>
    <t>Despesas de Representação</t>
  </si>
  <si>
    <t>Limpeza, Higiene e Conforto</t>
  </si>
  <si>
    <t>Outros Serviços</t>
  </si>
  <si>
    <t>Quadro de Pessoal (N.º Pessoas)</t>
  </si>
  <si>
    <t>Administração / Direção</t>
  </si>
  <si>
    <t>Administrativa / Financeira</t>
  </si>
  <si>
    <t>Investigação e Desenvolvimento</t>
  </si>
  <si>
    <t>Remuneração Base Mensal</t>
  </si>
  <si>
    <t>Remuneração Base Anual - TOTAL Colaboradores</t>
  </si>
  <si>
    <t>Seguros de Acidentes de Trabalho</t>
  </si>
  <si>
    <t>Subsídio de Alimentação (Média Mensal)</t>
  </si>
  <si>
    <t>N.º Meses Subsídio Alimentação (Meses)</t>
  </si>
  <si>
    <t>Comissões e Prémios</t>
  </si>
  <si>
    <t>Outros Custos com Pessoal</t>
  </si>
  <si>
    <t>Encargos sobre Remunerações</t>
  </si>
  <si>
    <t>Seguros de Acidentes de Trabalho e Doenças Profissionais</t>
  </si>
  <si>
    <t>Gastos de Ação Social</t>
  </si>
  <si>
    <t>Outros Gastos com Pessoal</t>
  </si>
  <si>
    <t>Propriedades de Investimento</t>
  </si>
  <si>
    <t>Investimento por Ano</t>
  </si>
  <si>
    <t>Edifícios e Outras Construções</t>
  </si>
  <si>
    <t>Outras Propriedades de Investimento</t>
  </si>
  <si>
    <t>Total Propriedades de Investimento</t>
  </si>
  <si>
    <t>Ativos Fixos Tangíveis</t>
  </si>
  <si>
    <t>Outros Ativos Fixos Tangíveis</t>
  </si>
  <si>
    <t>Total Ativos Fixos Tangíveis</t>
  </si>
  <si>
    <t>Ativos Intangíveis</t>
  </si>
  <si>
    <t>Projetos de Desenvolvimento</t>
  </si>
  <si>
    <t>Outros Ativos Intangíveis</t>
  </si>
  <si>
    <t>Total Ativos Intangíveis</t>
  </si>
  <si>
    <t>Taxas de Depreciações e Amortizações</t>
  </si>
  <si>
    <t>Total Depreciações e Amortizações</t>
  </si>
  <si>
    <t>Depreciações e Amortizações Acumuladas</t>
  </si>
  <si>
    <t>Margem de Segurança</t>
  </si>
  <si>
    <t>Necessidades de Financiamento</t>
  </si>
  <si>
    <t>Outros Instrumentos de Capital (+/-)</t>
  </si>
  <si>
    <t>Empréstimos de Sócios (+) ou  Reembolsos a Sócios (-)</t>
  </si>
  <si>
    <t>Financiamento Bancário e Outras Inst. Crédito</t>
  </si>
  <si>
    <t>Subsídios (+/-)</t>
  </si>
  <si>
    <t>N.º de Anos Reembolso</t>
  </si>
  <si>
    <t>Taxa de Juro Associada</t>
  </si>
  <si>
    <t>N.º Anos de Carência</t>
  </si>
  <si>
    <t>Capital em Dívida (Início Período)</t>
  </si>
  <si>
    <t>Serviço da Dívida</t>
  </si>
  <si>
    <t>Valor em Dívida</t>
  </si>
  <si>
    <t>Capital em Dívida</t>
  </si>
  <si>
    <t>Juros Pagos com Imposto Selo Incluído</t>
  </si>
  <si>
    <t>Vendas e Serviços Prestados</t>
  </si>
  <si>
    <t>Ganhos/Perdas imputados de Subsidiárias, Associadas e Empreendimentos Conjuntos</t>
  </si>
  <si>
    <t>Variação nos Inventários da Produção</t>
  </si>
  <si>
    <t>Trabalhos para a Própria Entidade</t>
  </si>
  <si>
    <t>Fornecimento e Serviços Externos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</si>
  <si>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</si>
  <si>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</si>
  <si>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</si>
  <si>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</si>
  <si>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</si>
  <si>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Outros Rendimentos e Ganhos</t>
  </si>
  <si>
    <t>Outros Gastos e Perdas</t>
  </si>
  <si>
    <t>EBITDA (Resultado antes de Depreciações, Gastos de Financiamento e Impostos)</t>
  </si>
  <si>
    <t>Gastos/Reversões de Depreciação e Amortização</t>
  </si>
  <si>
    <t>Imparidade de Ativos Depreciáveis/Amortizáveis (Perdas/Reversões)</t>
  </si>
  <si>
    <t>Juros e Rendimentos Similares Obtidos</t>
  </si>
  <si>
    <t>Juros e Gastos Similares Suportados</t>
  </si>
  <si>
    <t>Imposto sobre o Rendimento do Período</t>
  </si>
  <si>
    <t>Meios Libertos do Projeto</t>
  </si>
  <si>
    <t>Depreciações e Amortizações</t>
  </si>
  <si>
    <t>Provisões do Exercício</t>
  </si>
  <si>
    <t>Free Cash Flow</t>
  </si>
  <si>
    <t>CASH FLOW Acumulado</t>
  </si>
  <si>
    <t>Capital Social (Entrada de Fundos)</t>
  </si>
  <si>
    <t>Outros Instrumentos de Capital</t>
  </si>
  <si>
    <t>Inv.  Fundo de Maneio</t>
  </si>
  <si>
    <t>ATIVO</t>
  </si>
  <si>
    <t>Ativo Não Corrente</t>
  </si>
  <si>
    <t>Investimentos Financeiros</t>
  </si>
  <si>
    <t>Ativo Corrente</t>
  </si>
  <si>
    <t>Acionistas/Sócios</t>
  </si>
  <si>
    <t>Outras Contas a Receber</t>
  </si>
  <si>
    <t>Caixa e Depósitos Bancários</t>
  </si>
  <si>
    <t>TOTAL ATIVO</t>
  </si>
  <si>
    <t>Capital Realizado</t>
  </si>
  <si>
    <t>Ações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</si>
  <si>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</si>
  <si>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</si>
  <si>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</si>
  <si>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</si>
  <si>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Passivo Não Corrente</t>
  </si>
  <si>
    <t>Outras Contas a Pagar</t>
  </si>
  <si>
    <t>Passivo Corrente</t>
  </si>
  <si>
    <t>Rendibilidade Líquida sobre as Vendas</t>
  </si>
  <si>
    <t>Rendibilidade do Ativo</t>
  </si>
  <si>
    <t>Rotação do Ativo</t>
  </si>
  <si>
    <t>Cobertura dos Encargos Financeiros</t>
  </si>
  <si>
    <t>Fator de Atualização</t>
  </si>
  <si>
    <t>Fluxos Atualizados</t>
  </si>
  <si>
    <t>Fluxos Atualizados Acumulados</t>
  </si>
  <si>
    <t>Valor Atual Líquido (VAL)</t>
  </si>
  <si>
    <t>Taxa Interna de Rendibilidade</t>
  </si>
  <si>
    <t>Avaliação do Projeto / Empresa</t>
  </si>
  <si>
    <t>Taxa de Juro de Ativos sem Risco</t>
  </si>
  <si>
    <t>Prémio de Risco de Mercado</t>
  </si>
  <si>
    <t>Fator Atualização</t>
  </si>
  <si>
    <t>% Passivo Remunerado</t>
  </si>
  <si>
    <t>Cálc. Manual</t>
  </si>
  <si>
    <r>
      <t xml:space="preserve">Prazo de Pagamento de IVA </t>
    </r>
    <r>
      <rPr>
        <b/>
        <sz val="8"/>
        <color indexed="63"/>
        <rFont val="Arial Narrow"/>
        <family val="2"/>
      </rPr>
      <t xml:space="preserve"> (trim = 4; mensal =12)</t>
    </r>
  </si>
  <si>
    <t>Taxa de Atualização  Ru = RF+Bu*(Rm-Rf)</t>
  </si>
  <si>
    <r>
      <t xml:space="preserve">Custo Médio Ponderado do Capital </t>
    </r>
    <r>
      <rPr>
        <b/>
        <sz val="8"/>
        <color indexed="62"/>
        <rFont val="Arial Narrow"/>
        <family val="2"/>
      </rPr>
      <t>-</t>
    </r>
    <r>
      <rPr>
        <b/>
        <sz val="8"/>
        <color indexed="63"/>
        <rFont val="Arial Narrow"/>
        <family val="2"/>
      </rPr>
      <t xml:space="preserve"> wacc</t>
    </r>
  </si>
  <si>
    <r>
      <rPr>
        <b/>
        <sz val="9"/>
        <color indexed="62"/>
        <rFont val="Arial Narrow"/>
        <family val="2"/>
      </rPr>
      <t>1.</t>
    </r>
    <r>
      <rPr>
        <sz val="8"/>
        <color indexed="62"/>
        <rFont val="Arial Narrow"/>
        <family val="2"/>
      </rPr>
      <t xml:space="preserve"> PERPETUIDADE a crescer à taxa g</t>
    </r>
  </si>
  <si>
    <r>
      <rPr>
        <b/>
        <sz val="9"/>
        <color indexed="62"/>
        <rFont val="Arial Narrow"/>
        <family val="2"/>
      </rPr>
      <t>1.</t>
    </r>
    <r>
      <rPr>
        <b/>
        <sz val="8"/>
        <color indexed="62"/>
        <rFont val="Arial Narrow"/>
        <family val="2"/>
      </rPr>
      <t xml:space="preserve"> PERPETUIDADE a crescer à taxa g</t>
    </r>
  </si>
  <si>
    <r>
      <rPr>
        <b/>
        <sz val="8"/>
        <color indexed="62"/>
        <rFont val="Arial Narrow"/>
        <family val="2"/>
      </rPr>
      <t>1. PERPETUIDADE a crescer à taxa g</t>
    </r>
  </si>
  <si>
    <t>Ano 7</t>
  </si>
  <si>
    <t>Se versão excell for em inglês, meter na fórmula do Preríodo de Recuperação, o termo "false" em vez de "falso"</t>
  </si>
  <si>
    <t>4 = trim; 12 = mensal</t>
  </si>
  <si>
    <r>
      <t>Prémio de Risco de Mercado = (Rm</t>
    </r>
    <r>
      <rPr>
        <sz val="8"/>
        <color indexed="12"/>
        <rFont val="Arial Narrow"/>
        <family val="2"/>
      </rPr>
      <t>*</t>
    </r>
    <r>
      <rPr>
        <sz val="8"/>
        <rFont val="Arial Narrow"/>
        <family val="2"/>
      </rPr>
      <t xml:space="preserve">-Rf) </t>
    </r>
    <r>
      <rPr>
        <sz val="8"/>
        <color indexed="12"/>
        <rFont val="Arial Narrow"/>
        <family val="2"/>
      </rPr>
      <t>**</t>
    </r>
  </si>
  <si>
    <t>Beta U a partir de BL de Empresa(s) de Referência</t>
  </si>
  <si>
    <t>Margem Bruta %</t>
  </si>
  <si>
    <t>Nº Meses de Produção</t>
  </si>
  <si>
    <t>Taxa de Crescimento %</t>
  </si>
  <si>
    <t>CF %</t>
  </si>
  <si>
    <t>CV %</t>
  </si>
  <si>
    <t>N.º Meses (pagos em ano normal)</t>
  </si>
  <si>
    <t>Incremento Anual (Vencimentos + Sub. Almoço) %</t>
  </si>
  <si>
    <t>Meses de atividade da empresa (incluindo paragem em férias)</t>
  </si>
  <si>
    <t>Quadro de Pessoal (Meses de Trabalho incluindo Tempo Férias)</t>
  </si>
  <si>
    <t>N.º Meses Atividade/Produção</t>
  </si>
  <si>
    <t>Na Perspetiva do Investimento (pré-financiamento = 100% CP)</t>
  </si>
  <si>
    <t>Na Perspetiva do Investidor/accionista - Ótica do Cap. Próprio</t>
  </si>
  <si>
    <r>
      <t xml:space="preserve">Custo médio ponderado capital = Rcp*CP%+Rca*(1-ti)*CA%  </t>
    </r>
    <r>
      <rPr>
        <b/>
        <i/>
        <sz val="8"/>
        <color indexed="12"/>
        <rFont val="Calibri"/>
        <family val="2"/>
      </rPr>
      <t xml:space="preserve"> (Rcp com </t>
    </r>
    <r>
      <rPr>
        <i/>
        <sz val="8"/>
        <color indexed="12"/>
        <rFont val="Calibri"/>
        <family val="2"/>
      </rPr>
      <t>100%CP)</t>
    </r>
  </si>
  <si>
    <t>Fator de atualização</t>
  </si>
  <si>
    <r>
      <t xml:space="preserve">Free Cash Flow do Equity </t>
    </r>
    <r>
      <rPr>
        <i/>
        <sz val="8"/>
        <rFont val="Arial Narrow"/>
        <family val="2"/>
      </rPr>
      <t xml:space="preserve">= </t>
    </r>
    <r>
      <rPr>
        <i/>
        <sz val="8"/>
        <color indexed="12"/>
        <rFont val="Arial Narrow"/>
        <family val="2"/>
      </rPr>
      <t>CF operac + CF investimento + CF financiamento</t>
    </r>
  </si>
  <si>
    <t>Taxa de Atualização Rcp = Rf + Bu*(Rm-Rf)</t>
  </si>
  <si>
    <t>Pay Back Period  (cash flows atualizados)</t>
  </si>
  <si>
    <t>Pay Back Period  (cash flows atualizados) (arred. Ano anterior)</t>
  </si>
  <si>
    <t>TAXAS DE ATUALIZAÇÃO</t>
  </si>
  <si>
    <t>Custo do capital próprio (CAPM)  = Rcp = Rf + Bu*(Rm-Rf)</t>
  </si>
  <si>
    <t>FINANCIAMENTO</t>
  </si>
  <si>
    <t>Custo do Financiamento          j</t>
  </si>
  <si>
    <r>
      <t xml:space="preserve">Custo do Financiamento com efeito fiscal        </t>
    </r>
    <r>
      <rPr>
        <b/>
        <sz val="9"/>
        <color indexed="12"/>
        <rFont val="Arial Narrow"/>
        <family val="2"/>
      </rPr>
      <t>(1-ti*j)</t>
    </r>
  </si>
  <si>
    <t xml:space="preserve">Cálculo do CMPCP (wacc)  (ótica do investimento) </t>
  </si>
  <si>
    <t>ESTRUTURA DO FINANCIAMENTO DO PROJETO</t>
  </si>
  <si>
    <t>Ano 0 - sem ativid</t>
  </si>
  <si>
    <t>* Se há atividade no ano inicial, considerar a estrutura inicial de financiamento</t>
  </si>
  <si>
    <r>
      <t>CMPCP (wacc)  (ótica do investimento) = Rcp*CP%+Rca*(1-ti)*CA%     (Rcp com Bu)</t>
    </r>
    <r>
      <rPr>
        <b/>
        <i/>
        <sz val="8"/>
        <color indexed="12"/>
        <rFont val="Arial Narrow"/>
        <family val="2"/>
      </rPr>
      <t xml:space="preserve"> (=Bp otica 100% cap próprio)</t>
    </r>
  </si>
  <si>
    <t>Rcp = Rf+Bu*(Rm-Rf)</t>
  </si>
  <si>
    <t>Custo Financiamento com Efeito Fiscal = (1-t)*j</t>
  </si>
  <si>
    <t>cmpcp com cash flows líquidos de financiamento  Rcp*CP%+Rca*(1-ti)*CA%</t>
  </si>
  <si>
    <t>CMPCP (wacc)  (ótica do investimento) = Rcp*CP%+Rca*(1-ti)*CA%     (Rcp com Bp - Beta do projeto)</t>
  </si>
  <si>
    <r>
      <t xml:space="preserve">Beta p = </t>
    </r>
    <r>
      <rPr>
        <i/>
        <sz val="8"/>
        <color indexed="9"/>
        <rFont val="Arial Narrow"/>
        <family val="2"/>
      </rPr>
      <t>B</t>
    </r>
    <r>
      <rPr>
        <sz val="8"/>
        <color indexed="9"/>
        <rFont val="Arial Narrow"/>
        <family val="2"/>
      </rPr>
      <t>u * (1+(1-t)*CA/CP)  alternativa  Não utilizada</t>
    </r>
  </si>
  <si>
    <r>
      <t xml:space="preserve">Custo Capital  </t>
    </r>
    <r>
      <rPr>
        <sz val="8"/>
        <color indexed="63"/>
        <rFont val="Arial Narrow"/>
        <family val="2"/>
      </rPr>
      <t>Rcp = Rf+</t>
    </r>
    <r>
      <rPr>
        <b/>
        <i/>
        <sz val="8"/>
        <color indexed="63"/>
        <rFont val="Arial Narrow"/>
        <family val="2"/>
      </rPr>
      <t>Bp</t>
    </r>
    <r>
      <rPr>
        <sz val="8"/>
        <color indexed="63"/>
        <rFont val="Arial Narrow"/>
        <family val="2"/>
      </rPr>
      <t xml:space="preserve">*(Rm-Rf)  </t>
    </r>
  </si>
  <si>
    <t>Não utilizado</t>
  </si>
  <si>
    <t>Considera-se wacc t = wacc 0 no ano inicial, não influenciado por oscilações sucessivas da estrutura de capital</t>
  </si>
  <si>
    <t>VR</t>
  </si>
  <si>
    <r>
      <t>2.VR (</t>
    </r>
    <r>
      <rPr>
        <b/>
        <sz val="8"/>
        <color indexed="62"/>
        <rFont val="Arial Narrow"/>
        <family val="2"/>
      </rPr>
      <t>Ativo não depreciado + F.Maneio)</t>
    </r>
  </si>
  <si>
    <t xml:space="preserve"> '+ 1. ou +2. Por defeito = 2.</t>
  </si>
  <si>
    <r>
      <t xml:space="preserve">Na perspetiva do Investimento (pós-financiamento)
</t>
    </r>
    <r>
      <rPr>
        <b/>
        <sz val="10"/>
        <color indexed="9"/>
        <rFont val="Arial Narrow"/>
        <family val="2"/>
      </rPr>
      <t>T</t>
    </r>
    <r>
      <rPr>
        <sz val="10"/>
        <color indexed="9"/>
        <rFont val="Arial Narrow"/>
        <family val="2"/>
      </rPr>
      <t>axa Atualização=Custo Médio Ponderado do Capital - wacc)</t>
    </r>
  </si>
  <si>
    <r>
      <rPr>
        <b/>
        <sz val="8"/>
        <rFont val="Arial Narrow"/>
        <family val="2"/>
      </rPr>
      <t>Free Cash Flow to Firm</t>
    </r>
    <r>
      <rPr>
        <b/>
        <sz val="8"/>
        <color indexed="12"/>
        <rFont val="Arial Narrow"/>
        <family val="2"/>
      </rPr>
      <t xml:space="preserve"> + Valor Residual</t>
    </r>
  </si>
  <si>
    <t>Free Cash Flow do Equity +  Valor Residual</t>
  </si>
  <si>
    <t>ou = Capital Próprio no último ano</t>
  </si>
  <si>
    <t>JUPITER</t>
  </si>
  <si>
    <t xml:space="preserve">   Robots</t>
  </si>
  <si>
    <t>Robots</t>
  </si>
  <si>
    <t>Equipamento Editorial</t>
  </si>
  <si>
    <t>Equipamentos de Som e Filmagem</t>
  </si>
  <si>
    <t xml:space="preserve">   Equipamento Editorial</t>
  </si>
  <si>
    <t xml:space="preserve">   Equipamento de Som e Filmagem</t>
  </si>
  <si>
    <t>Direitos de Autor e Usufruto</t>
  </si>
  <si>
    <t>Softwares e Apps</t>
  </si>
  <si>
    <t>Marcas</t>
  </si>
  <si>
    <t xml:space="preserve">   Veículos de Transporte</t>
  </si>
  <si>
    <t>Marcas e Patentes</t>
  </si>
  <si>
    <t>Ativos Biológicos</t>
  </si>
  <si>
    <t>Março 2021</t>
  </si>
  <si>
    <t>Modelo Financeiro                                              do JUPITER'S BUSINESS</t>
  </si>
  <si>
    <r>
      <t xml:space="preserve">JUPITER SATURN NEPTUNE NEW-ORBIT-EDITIONS, LDA                    PRINT YOUR HEART WITH JUPITER EDITIONS </t>
    </r>
    <r>
      <rPr>
        <sz val="8"/>
        <color indexed="9"/>
        <rFont val="Yu Gothic"/>
        <family val="2"/>
      </rPr>
      <t>©</t>
    </r>
    <r>
      <rPr>
        <sz val="8"/>
        <color indexed="9"/>
        <rFont val="Calibri"/>
        <family val="2"/>
      </rPr>
      <t xml:space="preserve"> JUPITER EDITIONS</t>
    </r>
  </si>
  <si>
    <t>JUPITER, Lda/ R. &amp; Dr. D.K.
 PYH - Print Your Heart With Jupiter Editions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</si>
</sst>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[$-816]mmm/yy;@"/>
    <numFmt numFmtId="175" formatCode="0_ ;[Red]\-0\ "/>
    <numFmt numFmtId="176" formatCode="0.0%"/>
    <numFmt numFmtId="177" formatCode="#,##0_ ;[Red]\-#,##0\ "/>
    <numFmt numFmtId="178" formatCode="0.000"/>
    <numFmt numFmtId="179" formatCode="#,##0.0"/>
    <numFmt numFmtId="180" formatCode="#,##0.00_ ;[Red]\-#,##0.00\ "/>
    <numFmt numFmtId="181" formatCode="0.0"/>
    <numFmt numFmtId="182" formatCode="0.0_)"/>
    <numFmt numFmtId="183" formatCode="0.00_)"/>
    <numFmt numFmtId="184" formatCode="#,##0_ ;\-#,##0\ "/>
    <numFmt numFmtId="185" formatCode="0.000000"/>
    <numFmt numFmtId="186" formatCode="0.00000"/>
    <numFmt numFmtId="187" formatCode="0.0000"/>
    <numFmt numFmtId="188" formatCode="0.000%"/>
    <numFmt numFmtId="189" formatCode="0.00000000"/>
    <numFmt numFmtId="190" formatCode="0.0000000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#,##0.0_ ;[Red]\-#,##0.0\ "/>
    <numFmt numFmtId="196" formatCode="#,##0.00\ [$€-1];[Red]\-#,##0.00\ [$€-1]"/>
  </numFmts>
  <fonts count="138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8"/>
      <color indexed="62"/>
      <name val="Arial Narrow"/>
      <family val="2"/>
    </font>
    <font>
      <b/>
      <sz val="9"/>
      <color indexed="62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b/>
      <i/>
      <sz val="8"/>
      <color indexed="63"/>
      <name val="Arial Narrow"/>
      <family val="2"/>
    </font>
    <font>
      <i/>
      <sz val="8"/>
      <color indexed="12"/>
      <name val="Arial Narrow"/>
      <family val="2"/>
    </font>
    <font>
      <b/>
      <sz val="9"/>
      <name val="Arial Narrow"/>
      <family val="2"/>
    </font>
    <font>
      <b/>
      <i/>
      <sz val="8"/>
      <color indexed="12"/>
      <name val="Calibri"/>
      <family val="2"/>
    </font>
    <font>
      <i/>
      <sz val="8"/>
      <color indexed="12"/>
      <name val="Calibri"/>
      <family val="2"/>
    </font>
    <font>
      <b/>
      <sz val="9"/>
      <color indexed="12"/>
      <name val="Arial Narrow"/>
      <family val="2"/>
    </font>
    <font>
      <b/>
      <i/>
      <sz val="8"/>
      <color indexed="12"/>
      <name val="Arial Narrow"/>
      <family val="2"/>
    </font>
    <font>
      <i/>
      <sz val="8"/>
      <color indexed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Arial Narrow"/>
      <family val="2"/>
    </font>
    <font>
      <sz val="8"/>
      <color indexed="9"/>
      <name val="Yu Gothic"/>
      <family val="2"/>
    </font>
    <font>
      <sz val="8"/>
      <color indexed="9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9"/>
      <color indexed="57"/>
      <name val="Arial Narrow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i/>
      <sz val="8"/>
      <color indexed="62"/>
      <name val="Arial Narrow"/>
      <family val="2"/>
    </font>
    <font>
      <sz val="10"/>
      <color indexed="12"/>
      <name val="Arial Narrow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2"/>
      <color indexed="9"/>
      <name val="Arial Narrow"/>
      <family val="2"/>
    </font>
    <font>
      <sz val="8"/>
      <color indexed="30"/>
      <name val="Arial Narrow"/>
      <family val="2"/>
    </font>
    <font>
      <sz val="8"/>
      <color indexed="19"/>
      <name val="Arial Narrow"/>
      <family val="2"/>
    </font>
    <font>
      <b/>
      <sz val="8"/>
      <color indexed="19"/>
      <name val="Arial Narrow"/>
      <family val="2"/>
    </font>
    <font>
      <b/>
      <sz val="9"/>
      <color indexed="9"/>
      <name val="Arial Narrow"/>
      <family val="2"/>
    </font>
    <font>
      <sz val="8"/>
      <color indexed="15"/>
      <name val="Arial Narrow"/>
      <family val="2"/>
    </font>
    <font>
      <b/>
      <sz val="8"/>
      <color indexed="15"/>
      <name val="Arial Narrow"/>
      <family val="2"/>
    </font>
    <font>
      <b/>
      <sz val="12"/>
      <color indexed="62"/>
      <name val="Arial Narrow"/>
      <family val="2"/>
    </font>
    <font>
      <b/>
      <sz val="7"/>
      <color indexed="62"/>
      <name val="Arial Narrow"/>
      <family val="2"/>
    </font>
    <font>
      <b/>
      <i/>
      <sz val="8"/>
      <color indexed="62"/>
      <name val="Arial Narrow"/>
      <family val="2"/>
    </font>
    <font>
      <sz val="11"/>
      <color indexed="9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 Narrow"/>
      <family val="2"/>
    </font>
    <font>
      <sz val="8"/>
      <color rgb="FF0000CC"/>
      <name val="Arial Narrow"/>
      <family val="2"/>
    </font>
    <font>
      <b/>
      <sz val="9"/>
      <color theme="8" tint="-0.4999699890613556"/>
      <name val="Arial Narrow"/>
      <family val="2"/>
    </font>
    <font>
      <b/>
      <sz val="10"/>
      <color rgb="FF0000CC"/>
      <name val="Calibri"/>
      <family val="2"/>
    </font>
    <font>
      <b/>
      <i/>
      <sz val="22"/>
      <color theme="3" tint="-0.24997000396251678"/>
      <name val="Arial Narrow"/>
      <family val="2"/>
    </font>
    <font>
      <b/>
      <i/>
      <sz val="18"/>
      <color theme="3" tint="-0.24997000396251678"/>
      <name val="Arial Narrow"/>
      <family val="2"/>
    </font>
    <font>
      <b/>
      <sz val="8"/>
      <color theme="3" tint="-0.24997000396251678"/>
      <name val="Arial Narrow"/>
      <family val="2"/>
    </font>
    <font>
      <sz val="40"/>
      <color theme="3" tint="-0.24997000396251678"/>
      <name val="Arial Narrow"/>
      <family val="2"/>
    </font>
    <font>
      <sz val="22"/>
      <color theme="3" tint="-0.24997000396251678"/>
      <name val="Arial Narrow"/>
      <family val="2"/>
    </font>
    <font>
      <sz val="8"/>
      <color theme="1"/>
      <name val="Arial Narrow"/>
      <family val="2"/>
    </font>
    <font>
      <sz val="8"/>
      <color theme="3" tint="-0.24997000396251678"/>
      <name val="Arial Narrow"/>
      <family val="2"/>
    </font>
    <font>
      <i/>
      <sz val="8"/>
      <color theme="3" tint="-0.24997000396251678"/>
      <name val="Arial Narrow"/>
      <family val="2"/>
    </font>
    <font>
      <b/>
      <sz val="8"/>
      <color theme="1"/>
      <name val="Arial Narrow"/>
      <family val="2"/>
    </font>
    <font>
      <sz val="10"/>
      <color rgb="FF0000CC"/>
      <name val="Arial Narrow"/>
      <family val="2"/>
    </font>
    <font>
      <b/>
      <sz val="9"/>
      <color rgb="FF0000CC"/>
      <name val="Arial Narrow"/>
      <family val="2"/>
    </font>
    <font>
      <b/>
      <sz val="8"/>
      <color rgb="FF0000CC"/>
      <name val="Calibri"/>
      <family val="2"/>
    </font>
    <font>
      <b/>
      <sz val="12"/>
      <color theme="0"/>
      <name val="Arial Narrow"/>
      <family val="2"/>
    </font>
    <font>
      <b/>
      <sz val="8"/>
      <color rgb="FF0000CC"/>
      <name val="Arial Narrow"/>
      <family val="2"/>
    </font>
    <font>
      <sz val="8"/>
      <color rgb="FF0070C0"/>
      <name val="Arial Narrow"/>
      <family val="2"/>
    </font>
    <font>
      <i/>
      <sz val="8"/>
      <color rgb="FF0000CC"/>
      <name val="Arial Narrow"/>
      <family val="2"/>
    </font>
    <font>
      <sz val="8"/>
      <color theme="5" tint="-0.4999699890613556"/>
      <name val="Arial Narrow"/>
      <family val="2"/>
    </font>
    <font>
      <b/>
      <sz val="8"/>
      <color theme="5" tint="-0.4999699890613556"/>
      <name val="Arial Narrow"/>
      <family val="2"/>
    </font>
    <font>
      <b/>
      <sz val="9"/>
      <color theme="0"/>
      <name val="Arial Narrow"/>
      <family val="2"/>
    </font>
    <font>
      <sz val="8"/>
      <color theme="0"/>
      <name val="Arial Narrow"/>
      <family val="2"/>
    </font>
    <font>
      <sz val="8"/>
      <color rgb="FF00B0F0"/>
      <name val="Arial Narrow"/>
      <family val="2"/>
    </font>
    <font>
      <sz val="8"/>
      <color rgb="FF0707B9"/>
      <name val="Arial Narrow"/>
      <family val="2"/>
    </font>
    <font>
      <b/>
      <sz val="8"/>
      <color rgb="FF00B0F0"/>
      <name val="Arial Narrow"/>
      <family val="2"/>
    </font>
    <font>
      <b/>
      <sz val="12"/>
      <color theme="3" tint="-0.24997000396251678"/>
      <name val="Arial Narrow"/>
      <family val="2"/>
    </font>
    <font>
      <sz val="8"/>
      <color theme="0"/>
      <name val="Calibri"/>
      <family val="2"/>
    </font>
    <font>
      <b/>
      <sz val="7"/>
      <color theme="3" tint="-0.24997000396251678"/>
      <name val="Arial Narrow"/>
      <family val="2"/>
    </font>
    <font>
      <b/>
      <i/>
      <sz val="8"/>
      <color theme="3" tint="-0.24997000396251678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0" borderId="4" applyNumberFormat="0" applyAlignment="0" applyProtection="0"/>
    <xf numFmtId="0" fontId="93" fillId="0" borderId="5" applyNumberFormat="0" applyFill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98" fillId="20" borderId="7" applyNumberFormat="0" applyAlignment="0" applyProtection="0"/>
    <xf numFmtId="172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32" borderId="9" applyNumberFormat="0" applyAlignment="0" applyProtection="0"/>
    <xf numFmtId="173" fontId="1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7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0" fontId="1" fillId="34" borderId="0" xfId="53" applyFill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5" fillId="33" borderId="10" xfId="0" applyNumberFormat="1" applyFont="1" applyFill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77" fontId="26" fillId="0" borderId="10" xfId="54" applyNumberFormat="1" applyFont="1" applyFill="1" applyBorder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indent="1"/>
      <protection/>
    </xf>
    <xf numFmtId="179" fontId="4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5" fontId="5" fillId="33" borderId="10" xfId="0" applyNumberFormat="1" applyFont="1" applyFill="1" applyBorder="1" applyAlignment="1" applyProtection="1">
      <alignment horizontal="center"/>
      <protection/>
    </xf>
    <xf numFmtId="177" fontId="5" fillId="33" borderId="10" xfId="0" applyNumberFormat="1" applyFont="1" applyFill="1" applyBorder="1" applyAlignment="1" applyProtection="1">
      <alignment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77" fontId="4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0" fillId="0" borderId="0" xfId="0" applyFont="1" applyFill="1" applyAlignment="1" applyProtection="1">
      <alignment horizontal="left"/>
      <protection/>
    </xf>
    <xf numFmtId="0" fontId="20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175" fontId="5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33" borderId="10" xfId="0" applyNumberFormat="1" applyFont="1" applyFill="1" applyBorder="1" applyAlignment="1" applyProtection="1">
      <alignment horizontal="right" vertical="center"/>
      <protection/>
    </xf>
    <xf numFmtId="177" fontId="5" fillId="33" borderId="12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77" fontId="4" fillId="33" borderId="10" xfId="0" applyNumberFormat="1" applyFont="1" applyFill="1" applyBorder="1" applyAlignment="1" applyProtection="1">
      <alignment/>
      <protection/>
    </xf>
    <xf numFmtId="38" fontId="4" fillId="33" borderId="13" xfId="0" applyNumberFormat="1" applyFont="1" applyFill="1" applyBorder="1" applyAlignment="1" applyProtection="1">
      <alignment/>
      <protection/>
    </xf>
    <xf numFmtId="38" fontId="4" fillId="33" borderId="15" xfId="0" applyNumberFormat="1" applyFont="1" applyFill="1" applyBorder="1" applyAlignment="1" applyProtection="1">
      <alignment/>
      <protection/>
    </xf>
    <xf numFmtId="177" fontId="4" fillId="33" borderId="15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5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9" fontId="4" fillId="33" borderId="18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77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 indent="2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 indent="2"/>
      <protection/>
    </xf>
    <xf numFmtId="0" fontId="21" fillId="0" borderId="0" xfId="0" applyFont="1" applyFill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19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3" xfId="54" applyFont="1" applyFill="1" applyBorder="1" applyProtection="1">
      <alignment/>
      <protection/>
    </xf>
    <xf numFmtId="0" fontId="4" fillId="33" borderId="15" xfId="54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2" xfId="54" applyNumberFormat="1" applyFont="1" applyFill="1" applyBorder="1" applyAlignment="1" applyProtection="1">
      <alignment horizontal="right"/>
      <protection/>
    </xf>
    <xf numFmtId="177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77" fontId="5" fillId="33" borderId="20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77" fontId="4" fillId="0" borderId="0" xfId="54" applyNumberFormat="1" applyFont="1" applyFill="1" applyProtection="1">
      <alignment/>
      <protection/>
    </xf>
    <xf numFmtId="3" fontId="26" fillId="33" borderId="10" xfId="54" applyNumberFormat="1" applyFont="1" applyFill="1" applyBorder="1" applyProtection="1">
      <alignment/>
      <protection/>
    </xf>
    <xf numFmtId="0" fontId="10" fillId="33" borderId="13" xfId="54" applyFont="1" applyFill="1" applyBorder="1" applyAlignment="1" applyProtection="1">
      <alignment horizontal="center"/>
      <protection/>
    </xf>
    <xf numFmtId="0" fontId="10" fillId="33" borderId="15" xfId="54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76" fontId="4" fillId="0" borderId="0" xfId="0" applyNumberFormat="1" applyFon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9" fontId="4" fillId="33" borderId="23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3" xfId="0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/>
      <protection/>
    </xf>
    <xf numFmtId="9" fontId="4" fillId="33" borderId="24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4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33" borderId="10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4" fillId="33" borderId="22" xfId="0" applyFont="1" applyFill="1" applyBorder="1" applyAlignment="1" applyProtection="1">
      <alignment horizontal="left" indent="1"/>
      <protection/>
    </xf>
    <xf numFmtId="38" fontId="4" fillId="33" borderId="15" xfId="5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5" xfId="5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7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77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77" fontId="5" fillId="34" borderId="0" xfId="0" applyNumberFormat="1" applyFont="1" applyFill="1" applyBorder="1" applyAlignment="1" applyProtection="1">
      <alignment/>
      <protection/>
    </xf>
    <xf numFmtId="177" fontId="16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8" xfId="57" applyNumberFormat="1" applyFont="1" applyFill="1" applyBorder="1" applyAlignment="1" applyProtection="1">
      <alignment horizontal="right" vertical="center"/>
      <protection/>
    </xf>
    <xf numFmtId="3" fontId="4" fillId="33" borderId="29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2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27" fillId="34" borderId="0" xfId="0" applyFont="1" applyFill="1" applyAlignment="1" applyProtection="1">
      <alignment/>
      <protection/>
    </xf>
    <xf numFmtId="177" fontId="27" fillId="34" borderId="0" xfId="0" applyNumberFormat="1" applyFont="1" applyFill="1" applyAlignment="1" applyProtection="1">
      <alignment/>
      <protection/>
    </xf>
    <xf numFmtId="184" fontId="27" fillId="34" borderId="0" xfId="0" applyNumberFormat="1" applyFont="1" applyFill="1" applyAlignment="1" applyProtection="1">
      <alignment/>
      <protection/>
    </xf>
    <xf numFmtId="3" fontId="27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66" applyNumberFormat="1" applyFont="1" applyFill="1" applyAlignment="1" applyProtection="1">
      <alignment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78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19" fillId="0" borderId="0" xfId="66" applyNumberFormat="1" applyFont="1" applyFill="1" applyAlignment="1" applyProtection="1">
      <alignment/>
      <protection/>
    </xf>
    <xf numFmtId="40" fontId="19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19" fillId="0" borderId="0" xfId="66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78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177" fontId="26" fillId="34" borderId="0" xfId="0" applyNumberFormat="1" applyFont="1" applyFill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177" fontId="5" fillId="35" borderId="10" xfId="0" applyNumberFormat="1" applyFont="1" applyFill="1" applyBorder="1" applyAlignment="1" applyProtection="1">
      <alignment vertical="center"/>
      <protection locked="0"/>
    </xf>
    <xf numFmtId="177" fontId="13" fillId="35" borderId="10" xfId="0" applyNumberFormat="1" applyFont="1" applyFill="1" applyBorder="1" applyAlignment="1" applyProtection="1">
      <alignment vertical="center"/>
      <protection locked="0"/>
    </xf>
    <xf numFmtId="177" fontId="4" fillId="35" borderId="10" xfId="0" applyNumberFormat="1" applyFont="1" applyFill="1" applyBorder="1" applyAlignment="1" applyProtection="1">
      <alignment vertical="center"/>
      <protection locked="0"/>
    </xf>
    <xf numFmtId="9" fontId="13" fillId="35" borderId="10" xfId="57" applyFont="1" applyFill="1" applyBorder="1" applyAlignment="1" applyProtection="1">
      <alignment vertical="center"/>
      <protection locked="0"/>
    </xf>
    <xf numFmtId="10" fontId="13" fillId="35" borderId="10" xfId="57" applyNumberFormat="1" applyFont="1" applyFill="1" applyBorder="1" applyAlignment="1" applyProtection="1">
      <alignment vertical="center"/>
      <protection locked="0"/>
    </xf>
    <xf numFmtId="180" fontId="13" fillId="35" borderId="10" xfId="0" applyNumberFormat="1" applyFont="1" applyFill="1" applyBorder="1" applyAlignment="1" applyProtection="1">
      <alignment vertical="center"/>
      <protection locked="0"/>
    </xf>
    <xf numFmtId="180" fontId="4" fillId="35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19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19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 horizontal="right"/>
      <protection/>
    </xf>
    <xf numFmtId="0" fontId="4" fillId="33" borderId="13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" fontId="28" fillId="33" borderId="10" xfId="54" applyNumberFormat="1" applyFont="1" applyFill="1" applyBorder="1" applyAlignment="1" applyProtection="1">
      <alignment horizontal="right"/>
      <protection/>
    </xf>
    <xf numFmtId="3" fontId="26" fillId="33" borderId="10" xfId="54" applyNumberFormat="1" applyFont="1" applyFill="1" applyBorder="1" applyAlignment="1" applyProtection="1">
      <alignment horizontal="right"/>
      <protection/>
    </xf>
    <xf numFmtId="3" fontId="28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28" fillId="33" borderId="10" xfId="54" applyNumberFormat="1" applyFont="1" applyFill="1" applyBorder="1" applyAlignment="1" applyProtection="1">
      <alignment horizontal="center"/>
      <protection/>
    </xf>
    <xf numFmtId="3" fontId="28" fillId="33" borderId="10" xfId="54" applyNumberFormat="1" applyFont="1" applyFill="1" applyBorder="1" applyAlignment="1" applyProtection="1">
      <alignment/>
      <protection/>
    </xf>
    <xf numFmtId="0" fontId="5" fillId="33" borderId="22" xfId="54" applyFont="1" applyFill="1" applyBorder="1" applyProtection="1">
      <alignment/>
      <protection/>
    </xf>
    <xf numFmtId="0" fontId="4" fillId="33" borderId="25" xfId="54" applyFont="1" applyFill="1" applyBorder="1" applyProtection="1">
      <alignment/>
      <protection/>
    </xf>
    <xf numFmtId="177" fontId="29" fillId="33" borderId="10" xfId="54" applyNumberFormat="1" applyFont="1" applyFill="1" applyBorder="1" applyProtection="1">
      <alignment/>
      <protection/>
    </xf>
    <xf numFmtId="177" fontId="8" fillId="33" borderId="11" xfId="54" applyNumberFormat="1" applyFont="1" applyFill="1" applyBorder="1" applyProtection="1">
      <alignment/>
      <protection/>
    </xf>
    <xf numFmtId="0" fontId="4" fillId="33" borderId="24" xfId="54" applyFont="1" applyFill="1" applyBorder="1" applyProtection="1">
      <alignment/>
      <protection/>
    </xf>
    <xf numFmtId="10" fontId="4" fillId="33" borderId="23" xfId="58" applyNumberFormat="1" applyFont="1" applyFill="1" applyBorder="1" applyAlignment="1" applyProtection="1">
      <alignment/>
      <protection/>
    </xf>
    <xf numFmtId="177" fontId="4" fillId="33" borderId="23" xfId="54" applyNumberFormat="1" applyFont="1" applyFill="1" applyBorder="1" applyProtection="1">
      <alignment/>
      <protection/>
    </xf>
    <xf numFmtId="0" fontId="4" fillId="33" borderId="24" xfId="54" applyFont="1" applyFill="1" applyBorder="1" applyAlignment="1" applyProtection="1">
      <alignment horizontal="left" indent="2"/>
      <protection/>
    </xf>
    <xf numFmtId="10" fontId="4" fillId="33" borderId="29" xfId="58" applyNumberFormat="1" applyFont="1" applyFill="1" applyBorder="1" applyAlignment="1" applyProtection="1">
      <alignment/>
      <protection/>
    </xf>
    <xf numFmtId="177" fontId="8" fillId="33" borderId="23" xfId="54" applyNumberFormat="1" applyFont="1" applyFill="1" applyBorder="1" applyProtection="1">
      <alignment/>
      <protection/>
    </xf>
    <xf numFmtId="177" fontId="5" fillId="33" borderId="10" xfId="54" applyNumberFormat="1" applyFont="1" applyFill="1" applyBorder="1" applyAlignment="1" applyProtection="1">
      <alignment/>
      <protection/>
    </xf>
    <xf numFmtId="0" fontId="5" fillId="33" borderId="24" xfId="54" applyFont="1" applyFill="1" applyBorder="1" applyProtection="1">
      <alignment/>
      <protection/>
    </xf>
    <xf numFmtId="0" fontId="5" fillId="33" borderId="14" xfId="54" applyFont="1" applyFill="1" applyBorder="1" applyProtection="1">
      <alignment/>
      <protection/>
    </xf>
    <xf numFmtId="177" fontId="5" fillId="0" borderId="0" xfId="54" applyNumberFormat="1" applyFont="1" applyFill="1" applyBorder="1" applyAlignment="1" applyProtection="1">
      <alignment/>
      <protection/>
    </xf>
    <xf numFmtId="177" fontId="4" fillId="33" borderId="11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77" fontId="4" fillId="33" borderId="1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9" fontId="4" fillId="33" borderId="35" xfId="57" applyFont="1" applyFill="1" applyBorder="1" applyAlignment="1" applyProtection="1">
      <alignment horizontal="right" vertical="center"/>
      <protection/>
    </xf>
    <xf numFmtId="4" fontId="4" fillId="33" borderId="35" xfId="0" applyNumberFormat="1" applyFont="1" applyFill="1" applyBorder="1" applyAlignment="1" applyProtection="1">
      <alignment horizontal="right" vertic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9" fontId="4" fillId="33" borderId="37" xfId="57" applyFont="1" applyFill="1" applyBorder="1" applyAlignment="1" applyProtection="1">
      <alignment horizontal="right" vertical="center"/>
      <protection/>
    </xf>
    <xf numFmtId="0" fontId="4" fillId="33" borderId="38" xfId="0" applyFont="1" applyFill="1" applyBorder="1" applyAlignment="1" applyProtection="1">
      <alignment horizontal="left"/>
      <protection/>
    </xf>
    <xf numFmtId="177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22" xfId="0" applyFont="1" applyFill="1" applyBorder="1" applyAlignment="1" applyProtection="1">
      <alignment/>
      <protection/>
    </xf>
    <xf numFmtId="180" fontId="4" fillId="35" borderId="10" xfId="0" applyNumberFormat="1" applyFont="1" applyFill="1" applyBorder="1" applyAlignment="1" applyProtection="1">
      <alignment horizontal="right"/>
      <protection/>
    </xf>
    <xf numFmtId="180" fontId="5" fillId="35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77" fontId="5" fillId="33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33" borderId="12" xfId="0" applyNumberFormat="1" applyFont="1" applyFill="1" applyBorder="1" applyAlignment="1" applyProtection="1">
      <alignment horizontal="right"/>
      <protection/>
    </xf>
    <xf numFmtId="38" fontId="4" fillId="33" borderId="13" xfId="0" applyNumberFormat="1" applyFont="1" applyFill="1" applyBorder="1" applyAlignment="1" applyProtection="1">
      <alignment horizontal="left" indent="1"/>
      <protection/>
    </xf>
    <xf numFmtId="3" fontId="13" fillId="0" borderId="10" xfId="57" applyNumberFormat="1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/>
      <protection/>
    </xf>
    <xf numFmtId="181" fontId="4" fillId="34" borderId="39" xfId="0" applyNumberFormat="1" applyFont="1" applyFill="1" applyBorder="1" applyAlignment="1" applyProtection="1">
      <alignment horizontal="center"/>
      <protection/>
    </xf>
    <xf numFmtId="179" fontId="4" fillId="34" borderId="39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39" xfId="0" applyNumberFormat="1" applyFont="1" applyFill="1" applyBorder="1" applyAlignment="1" applyProtection="1">
      <alignment horizontal="center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5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3" fontId="4" fillId="0" borderId="28" xfId="57" applyNumberFormat="1" applyFont="1" applyFill="1" applyBorder="1" applyAlignment="1" applyProtection="1">
      <alignment horizontal="right" vertical="center"/>
      <protection locked="0"/>
    </xf>
    <xf numFmtId="3" fontId="5" fillId="6" borderId="10" xfId="57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hidden="1"/>
    </xf>
    <xf numFmtId="179" fontId="13" fillId="0" borderId="10" xfId="0" applyNumberFormat="1" applyFont="1" applyFill="1" applyBorder="1" applyAlignment="1" applyProtection="1">
      <alignment/>
      <protection locked="0"/>
    </xf>
    <xf numFmtId="179" fontId="13" fillId="33" borderId="10" xfId="57" applyNumberFormat="1" applyFont="1" applyFill="1" applyBorder="1" applyAlignment="1" applyProtection="1">
      <alignment horizontal="center" vertical="center"/>
      <protection/>
    </xf>
    <xf numFmtId="179" fontId="13" fillId="33" borderId="10" xfId="57" applyNumberFormat="1" applyFont="1" applyFill="1" applyBorder="1" applyAlignment="1" applyProtection="1">
      <alignment horizontal="center" vertical="center"/>
      <protection locked="0"/>
    </xf>
    <xf numFmtId="179" fontId="5" fillId="33" borderId="12" xfId="0" applyNumberFormat="1" applyFont="1" applyFill="1" applyBorder="1" applyAlignment="1" applyProtection="1">
      <alignment/>
      <protection/>
    </xf>
    <xf numFmtId="176" fontId="13" fillId="33" borderId="10" xfId="57" applyNumberFormat="1" applyFont="1" applyFill="1" applyBorder="1" applyAlignment="1" applyProtection="1">
      <alignment horizontal="center" vertical="center"/>
      <protection/>
    </xf>
    <xf numFmtId="176" fontId="13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176" fontId="13" fillId="33" borderId="10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76" fontId="13" fillId="0" borderId="10" xfId="57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Alignment="1" applyProtection="1">
      <alignment horizontal="center"/>
      <protection hidden="1"/>
    </xf>
    <xf numFmtId="177" fontId="4" fillId="6" borderId="23" xfId="54" applyNumberFormat="1" applyFont="1" applyFill="1" applyBorder="1" applyProtection="1">
      <alignment/>
      <protection/>
    </xf>
    <xf numFmtId="180" fontId="5" fillId="37" borderId="29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 quotePrefix="1">
      <alignment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10" fontId="104" fillId="33" borderId="23" xfId="58" applyNumberFormat="1" applyFont="1" applyFill="1" applyBorder="1" applyAlignment="1" applyProtection="1">
      <alignment/>
      <protection/>
    </xf>
    <xf numFmtId="177" fontId="104" fillId="33" borderId="23" xfId="54" applyNumberFormat="1" applyFont="1" applyFill="1" applyBorder="1" applyProtection="1">
      <alignment/>
      <protection/>
    </xf>
    <xf numFmtId="0" fontId="104" fillId="33" borderId="24" xfId="54" applyFont="1" applyFill="1" applyBorder="1" applyProtection="1">
      <alignment/>
      <protection/>
    </xf>
    <xf numFmtId="177" fontId="104" fillId="33" borderId="40" xfId="54" applyNumberFormat="1" applyFont="1" applyFill="1" applyBorder="1" applyProtection="1">
      <alignment/>
      <protection/>
    </xf>
    <xf numFmtId="177" fontId="4" fillId="7" borderId="41" xfId="54" applyNumberFormat="1" applyFont="1" applyFill="1" applyBorder="1" applyProtection="1">
      <alignment/>
      <protection/>
    </xf>
    <xf numFmtId="0" fontId="4" fillId="34" borderId="0" xfId="0" applyFont="1" applyFill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105" fillId="0" borderId="10" xfId="0" applyFont="1" applyFill="1" applyBorder="1" applyAlignment="1" applyProtection="1">
      <alignment/>
      <protection/>
    </xf>
    <xf numFmtId="0" fontId="105" fillId="33" borderId="15" xfId="0" applyFont="1" applyFill="1" applyBorder="1" applyAlignment="1" applyProtection="1">
      <alignment vertical="center" wrapText="1"/>
      <protection/>
    </xf>
    <xf numFmtId="0" fontId="105" fillId="38" borderId="0" xfId="0" applyFont="1" applyFill="1" applyAlignment="1" applyProtection="1">
      <alignment/>
      <protection/>
    </xf>
    <xf numFmtId="0" fontId="4" fillId="39" borderId="0" xfId="0" applyFont="1" applyFill="1" applyBorder="1" applyAlignment="1" applyProtection="1">
      <alignment horizontal="justify" vertical="top" wrapText="1"/>
      <protection hidden="1"/>
    </xf>
    <xf numFmtId="0" fontId="106" fillId="39" borderId="0" xfId="0" applyFont="1" applyFill="1" applyBorder="1" applyAlignment="1" applyProtection="1">
      <alignment vertical="center" wrapText="1"/>
      <protection hidden="1"/>
    </xf>
    <xf numFmtId="0" fontId="64" fillId="39" borderId="0" xfId="0" applyFont="1" applyFill="1" applyBorder="1" applyAlignment="1" applyProtection="1">
      <alignment horizontal="justify" vertical="center" wrapText="1"/>
      <protection hidden="1"/>
    </xf>
    <xf numFmtId="0" fontId="65" fillId="39" borderId="0" xfId="0" applyFont="1" applyFill="1" applyBorder="1" applyAlignment="1" applyProtection="1">
      <alignment horizontal="justify" vertical="center" wrapText="1"/>
      <protection hidden="1"/>
    </xf>
    <xf numFmtId="0" fontId="107" fillId="39" borderId="0" xfId="0" applyFont="1" applyFill="1" applyBorder="1" applyAlignment="1" applyProtection="1">
      <alignment horizontal="justify" vertical="top" wrapText="1"/>
      <protection hidden="1"/>
    </xf>
    <xf numFmtId="0" fontId="108" fillId="40" borderId="0" xfId="0" applyFont="1" applyFill="1" applyAlignment="1" applyProtection="1">
      <alignment horizontal="center" vertical="center" wrapText="1"/>
      <protection locked="0"/>
    </xf>
    <xf numFmtId="0" fontId="109" fillId="40" borderId="0" xfId="0" applyFont="1" applyFill="1" applyAlignment="1" applyProtection="1">
      <alignment horizontal="center" vertical="center" wrapText="1"/>
      <protection locked="0"/>
    </xf>
    <xf numFmtId="0" fontId="110" fillId="0" borderId="0" xfId="0" applyFont="1" applyFill="1" applyAlignment="1" applyProtection="1">
      <alignment/>
      <protection/>
    </xf>
    <xf numFmtId="0" fontId="111" fillId="0" borderId="0" xfId="0" applyFont="1" applyBorder="1" applyAlignment="1">
      <alignment horizontal="center" wrapText="1"/>
    </xf>
    <xf numFmtId="0" fontId="112" fillId="40" borderId="0" xfId="0" applyFont="1" applyFill="1" applyBorder="1" applyAlignment="1">
      <alignment horizontal="center"/>
    </xf>
    <xf numFmtId="0" fontId="6" fillId="41" borderId="0" xfId="0" applyFont="1" applyFill="1" applyAlignment="1" applyProtection="1">
      <alignment horizontal="right"/>
      <protection hidden="1"/>
    </xf>
    <xf numFmtId="0" fontId="3" fillId="41" borderId="0" xfId="0" applyFont="1" applyFill="1" applyAlignment="1" applyProtection="1">
      <alignment horizontal="right"/>
      <protection locked="0"/>
    </xf>
    <xf numFmtId="0" fontId="113" fillId="0" borderId="0" xfId="0" applyFont="1" applyFill="1" applyBorder="1" applyAlignment="1" applyProtection="1">
      <alignment/>
      <protection hidden="1"/>
    </xf>
    <xf numFmtId="0" fontId="114" fillId="0" borderId="15" xfId="0" applyFont="1" applyFill="1" applyBorder="1" applyAlignment="1" applyProtection="1">
      <alignment horizontal="center"/>
      <protection locked="0"/>
    </xf>
    <xf numFmtId="0" fontId="110" fillId="42" borderId="15" xfId="0" applyFont="1" applyFill="1" applyBorder="1" applyAlignment="1" applyProtection="1">
      <alignment horizontal="center"/>
      <protection locked="0"/>
    </xf>
    <xf numFmtId="0" fontId="114" fillId="0" borderId="10" xfId="0" applyFont="1" applyFill="1" applyBorder="1" applyAlignment="1" applyProtection="1">
      <alignment horizontal="center"/>
      <protection locked="0"/>
    </xf>
    <xf numFmtId="0" fontId="114" fillId="0" borderId="0" xfId="0" applyFont="1" applyFill="1" applyBorder="1" applyAlignment="1" applyProtection="1">
      <alignment horizontal="center"/>
      <protection hidden="1"/>
    </xf>
    <xf numFmtId="10" fontId="114" fillId="0" borderId="10" xfId="0" applyNumberFormat="1" applyFont="1" applyFill="1" applyBorder="1" applyAlignment="1" applyProtection="1">
      <alignment horizontal="center"/>
      <protection locked="0"/>
    </xf>
    <xf numFmtId="0" fontId="114" fillId="0" borderId="15" xfId="0" applyFont="1" applyFill="1" applyBorder="1" applyAlignment="1" applyProtection="1">
      <alignment horizontal="center"/>
      <protection hidden="1"/>
    </xf>
    <xf numFmtId="9" fontId="114" fillId="0" borderId="0" xfId="57" applyFont="1" applyFill="1" applyAlignment="1" applyProtection="1">
      <alignment/>
      <protection hidden="1"/>
    </xf>
    <xf numFmtId="181" fontId="114" fillId="39" borderId="15" xfId="0" applyNumberFormat="1" applyFont="1" applyFill="1" applyBorder="1" applyAlignment="1" applyProtection="1">
      <alignment horizontal="center"/>
      <protection hidden="1"/>
    </xf>
    <xf numFmtId="1" fontId="114" fillId="39" borderId="15" xfId="0" applyNumberFormat="1" applyFont="1" applyFill="1" applyBorder="1" applyAlignment="1" applyProtection="1">
      <alignment horizontal="center"/>
      <protection hidden="1"/>
    </xf>
    <xf numFmtId="10" fontId="114" fillId="0" borderId="13" xfId="0" applyNumberFormat="1" applyFont="1" applyFill="1" applyBorder="1" applyAlignment="1" applyProtection="1">
      <alignment horizontal="center"/>
      <protection locked="0"/>
    </xf>
    <xf numFmtId="0" fontId="113" fillId="33" borderId="10" xfId="0" applyFont="1" applyFill="1" applyBorder="1" applyAlignment="1" applyProtection="1">
      <alignment/>
      <protection hidden="1"/>
    </xf>
    <xf numFmtId="10" fontId="114" fillId="42" borderId="10" xfId="0" applyNumberFormat="1" applyFont="1" applyFill="1" applyBorder="1" applyAlignment="1" applyProtection="1">
      <alignment horizontal="center"/>
      <protection locked="0"/>
    </xf>
    <xf numFmtId="0" fontId="6" fillId="41" borderId="0" xfId="0" applyFont="1" applyFill="1" applyAlignment="1" applyProtection="1">
      <alignment/>
      <protection/>
    </xf>
    <xf numFmtId="0" fontId="3" fillId="41" borderId="0" xfId="0" applyFont="1" applyFill="1" applyAlignment="1" applyProtection="1">
      <alignment horizontal="right"/>
      <protection/>
    </xf>
    <xf numFmtId="0" fontId="110" fillId="33" borderId="12" xfId="0" applyFont="1" applyFill="1" applyBorder="1" applyAlignment="1" applyProtection="1">
      <alignment horizontal="left"/>
      <protection/>
    </xf>
    <xf numFmtId="176" fontId="114" fillId="37" borderId="12" xfId="57" applyNumberFormat="1" applyFont="1" applyFill="1" applyBorder="1" applyAlignment="1" applyProtection="1">
      <alignment horizontal="center" vertical="center"/>
      <protection/>
    </xf>
    <xf numFmtId="0" fontId="110" fillId="33" borderId="20" xfId="0" applyFont="1" applyFill="1" applyBorder="1" applyAlignment="1" applyProtection="1">
      <alignment/>
      <protection/>
    </xf>
    <xf numFmtId="176" fontId="104" fillId="37" borderId="12" xfId="57" applyNumberFormat="1" applyFont="1" applyFill="1" applyBorder="1" applyAlignment="1" applyProtection="1">
      <alignment horizontal="center" vertical="center"/>
      <protection locked="0"/>
    </xf>
    <xf numFmtId="0" fontId="110" fillId="33" borderId="10" xfId="0" applyFont="1" applyFill="1" applyBorder="1" applyAlignment="1" applyProtection="1">
      <alignment horizontal="center" vertical="center"/>
      <protection/>
    </xf>
    <xf numFmtId="0" fontId="110" fillId="33" borderId="12" xfId="0" applyFont="1" applyFill="1" applyBorder="1" applyAlignment="1" applyProtection="1">
      <alignment horizontal="center"/>
      <protection/>
    </xf>
    <xf numFmtId="9" fontId="114" fillId="33" borderId="12" xfId="57" applyFont="1" applyFill="1" applyBorder="1" applyAlignment="1" applyProtection="1">
      <alignment horizontal="center" vertical="center"/>
      <protection/>
    </xf>
    <xf numFmtId="0" fontId="6" fillId="41" borderId="0" xfId="0" applyFont="1" applyFill="1" applyAlignment="1" applyProtection="1">
      <alignment horizontal="left"/>
      <protection/>
    </xf>
    <xf numFmtId="0" fontId="3" fillId="41" borderId="0" xfId="0" applyFont="1" applyFill="1" applyAlignment="1" applyProtection="1">
      <alignment/>
      <protection/>
    </xf>
    <xf numFmtId="176" fontId="114" fillId="0" borderId="10" xfId="0" applyNumberFormat="1" applyFont="1" applyFill="1" applyBorder="1" applyAlignment="1" applyProtection="1">
      <alignment horizontal="center"/>
      <protection locked="0"/>
    </xf>
    <xf numFmtId="176" fontId="114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8" fontId="5" fillId="33" borderId="10" xfId="0" applyNumberFormat="1" applyFont="1" applyFill="1" applyBorder="1" applyAlignment="1" applyProtection="1">
      <alignment/>
      <protection/>
    </xf>
    <xf numFmtId="38" fontId="5" fillId="33" borderId="10" xfId="0" applyNumberFormat="1" applyFont="1" applyFill="1" applyBorder="1" applyAlignment="1" applyProtection="1">
      <alignment horizontal="left"/>
      <protection/>
    </xf>
    <xf numFmtId="175" fontId="11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9" borderId="13" xfId="0" applyFont="1" applyFill="1" applyBorder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4" fillId="39" borderId="16" xfId="0" applyFont="1" applyFill="1" applyBorder="1" applyAlignment="1" applyProtection="1">
      <alignment/>
      <protection/>
    </xf>
    <xf numFmtId="10" fontId="114" fillId="42" borderId="10" xfId="57" applyNumberFormat="1" applyFont="1" applyFill="1" applyBorder="1" applyAlignment="1" applyProtection="1">
      <alignment horizontal="center"/>
      <protection locked="0"/>
    </xf>
    <xf numFmtId="4" fontId="114" fillId="42" borderId="10" xfId="57" applyNumberFormat="1" applyFont="1" applyFill="1" applyBorder="1" applyAlignment="1" applyProtection="1">
      <alignment horizontal="center"/>
      <protection locked="0"/>
    </xf>
    <xf numFmtId="3" fontId="114" fillId="0" borderId="10" xfId="57" applyNumberFormat="1" applyFont="1" applyFill="1" applyBorder="1" applyAlignment="1" applyProtection="1">
      <alignment horizontal="center"/>
      <protection locked="0"/>
    </xf>
    <xf numFmtId="3" fontId="4" fillId="39" borderId="10" xfId="0" applyNumberFormat="1" applyFont="1" applyFill="1" applyBorder="1" applyAlignment="1" applyProtection="1">
      <alignment horizontal="right" vertical="center"/>
      <protection locked="0"/>
    </xf>
    <xf numFmtId="0" fontId="6" fillId="41" borderId="0" xfId="0" applyFont="1" applyFill="1" applyBorder="1" applyAlignment="1" applyProtection="1">
      <alignment/>
      <protection/>
    </xf>
    <xf numFmtId="0" fontId="3" fillId="41" borderId="0" xfId="0" applyFont="1" applyFill="1" applyBorder="1" applyAlignment="1" applyProtection="1">
      <alignment horizontal="right"/>
      <protection/>
    </xf>
    <xf numFmtId="0" fontId="110" fillId="33" borderId="13" xfId="54" applyFont="1" applyFill="1" applyBorder="1" applyAlignment="1" applyProtection="1">
      <alignment horizontal="center"/>
      <protection/>
    </xf>
    <xf numFmtId="0" fontId="8" fillId="41" borderId="0" xfId="0" applyFont="1" applyFill="1" applyAlignment="1" applyProtection="1">
      <alignment/>
      <protection/>
    </xf>
    <xf numFmtId="0" fontId="3" fillId="41" borderId="0" xfId="0" applyFont="1" applyFill="1" applyBorder="1" applyAlignment="1" applyProtection="1">
      <alignment/>
      <protection/>
    </xf>
    <xf numFmtId="3" fontId="4" fillId="40" borderId="10" xfId="57" applyNumberFormat="1" applyFont="1" applyFill="1" applyBorder="1" applyAlignment="1" applyProtection="1">
      <alignment horizontal="right" vertical="center"/>
      <protection locked="0"/>
    </xf>
    <xf numFmtId="3" fontId="4" fillId="39" borderId="23" xfId="57" applyNumberFormat="1" applyFont="1" applyFill="1" applyBorder="1" applyAlignment="1" applyProtection="1">
      <alignment horizontal="right" vertical="center"/>
      <protection/>
    </xf>
    <xf numFmtId="0" fontId="7" fillId="41" borderId="0" xfId="0" applyFont="1" applyFill="1" applyBorder="1" applyAlignment="1" applyProtection="1">
      <alignment/>
      <protection/>
    </xf>
    <xf numFmtId="0" fontId="8" fillId="41" borderId="0" xfId="0" applyFont="1" applyFill="1" applyBorder="1" applyAlignment="1" applyProtection="1">
      <alignment/>
      <protection/>
    </xf>
    <xf numFmtId="3" fontId="4" fillId="42" borderId="10" xfId="0" applyNumberFormat="1" applyFont="1" applyFill="1" applyBorder="1" applyAlignment="1" applyProtection="1">
      <alignment horizontal="right" vertical="center"/>
      <protection/>
    </xf>
    <xf numFmtId="195" fontId="4" fillId="42" borderId="39" xfId="0" applyNumberFormat="1" applyFont="1" applyFill="1" applyBorder="1" applyAlignment="1" applyProtection="1">
      <alignment horizontal="center"/>
      <protection locked="0"/>
    </xf>
    <xf numFmtId="0" fontId="115" fillId="0" borderId="0" xfId="0" applyFont="1" applyFill="1" applyAlignment="1" applyProtection="1">
      <alignment horizontal="center"/>
      <protection/>
    </xf>
    <xf numFmtId="10" fontId="114" fillId="33" borderId="10" xfId="0" applyNumberFormat="1" applyFont="1" applyFill="1" applyBorder="1" applyAlignment="1" applyProtection="1">
      <alignment vertical="center" wrapText="1"/>
      <protection/>
    </xf>
    <xf numFmtId="10" fontId="4" fillId="42" borderId="10" xfId="0" applyNumberFormat="1" applyFont="1" applyFill="1" applyBorder="1" applyAlignment="1" applyProtection="1">
      <alignment vertical="center" wrapText="1"/>
      <protection/>
    </xf>
    <xf numFmtId="10" fontId="4" fillId="42" borderId="10" xfId="0" applyNumberFormat="1" applyFont="1" applyFill="1" applyBorder="1" applyAlignment="1" applyProtection="1">
      <alignment vertical="center" wrapText="1"/>
      <protection locked="0"/>
    </xf>
    <xf numFmtId="0" fontId="115" fillId="0" borderId="0" xfId="0" applyFont="1" applyFill="1" applyAlignment="1" applyProtection="1">
      <alignment vertical="top"/>
      <protection/>
    </xf>
    <xf numFmtId="186" fontId="116" fillId="38" borderId="39" xfId="0" applyNumberFormat="1" applyFont="1" applyFill="1" applyBorder="1" applyAlignment="1" applyProtection="1">
      <alignment/>
      <protection/>
    </xf>
    <xf numFmtId="3" fontId="5" fillId="42" borderId="10" xfId="57" applyNumberFormat="1" applyFont="1" applyFill="1" applyBorder="1" applyAlignment="1" applyProtection="1">
      <alignment horizontal="center" vertical="center"/>
      <protection locked="0"/>
    </xf>
    <xf numFmtId="10" fontId="5" fillId="42" borderId="10" xfId="57" applyNumberFormat="1" applyFont="1" applyFill="1" applyBorder="1" applyAlignment="1" applyProtection="1">
      <alignment horizontal="center" vertical="center"/>
      <protection/>
    </xf>
    <xf numFmtId="3" fontId="5" fillId="42" borderId="39" xfId="57" applyNumberFormat="1" applyFont="1" applyFill="1" applyBorder="1" applyAlignment="1" applyProtection="1">
      <alignment horizontal="center" vertical="center"/>
      <protection/>
    </xf>
    <xf numFmtId="0" fontId="4" fillId="31" borderId="0" xfId="0" applyFont="1" applyFill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117" fillId="40" borderId="0" xfId="0" applyFont="1" applyFill="1" applyAlignment="1">
      <alignment horizontal="center" vertical="center" wrapText="1"/>
    </xf>
    <xf numFmtId="2" fontId="110" fillId="0" borderId="0" xfId="57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locked="0"/>
    </xf>
    <xf numFmtId="0" fontId="118" fillId="33" borderId="13" xfId="0" applyFont="1" applyFill="1" applyBorder="1" applyAlignment="1" applyProtection="1">
      <alignment horizontal="left"/>
      <protection hidden="1"/>
    </xf>
    <xf numFmtId="175" fontId="114" fillId="42" borderId="11" xfId="0" applyNumberFormat="1" applyFont="1" applyFill="1" applyBorder="1" applyAlignment="1" applyProtection="1">
      <alignment horizontal="center" vertical="center"/>
      <protection locked="0"/>
    </xf>
    <xf numFmtId="10" fontId="13" fillId="42" borderId="10" xfId="57" applyNumberFormat="1" applyFont="1" applyFill="1" applyBorder="1" applyAlignment="1" applyProtection="1">
      <alignment horizontal="center" vertical="center"/>
      <protection locked="0"/>
    </xf>
    <xf numFmtId="9" fontId="13" fillId="33" borderId="10" xfId="57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175" fontId="4" fillId="0" borderId="10" xfId="0" applyNumberFormat="1" applyFont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/>
      <protection locked="0"/>
    </xf>
    <xf numFmtId="0" fontId="5" fillId="40" borderId="16" xfId="0" applyFont="1" applyFill="1" applyBorder="1" applyAlignment="1" applyProtection="1">
      <alignment/>
      <protection locked="0"/>
    </xf>
    <xf numFmtId="0" fontId="4" fillId="4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9" fontId="4" fillId="33" borderId="25" xfId="57" applyFont="1" applyFill="1" applyBorder="1" applyAlignment="1" applyProtection="1">
      <alignment horizontal="left"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2" fontId="4" fillId="2" borderId="39" xfId="0" applyNumberFormat="1" applyFont="1" applyFill="1" applyBorder="1" applyAlignment="1" applyProtection="1">
      <alignment horizontal="center"/>
      <protection locked="0"/>
    </xf>
    <xf numFmtId="10" fontId="114" fillId="2" borderId="39" xfId="0" applyNumberFormat="1" applyFont="1" applyFill="1" applyBorder="1" applyAlignment="1" applyProtection="1">
      <alignment horizontal="center"/>
      <protection locked="0"/>
    </xf>
    <xf numFmtId="0" fontId="119" fillId="42" borderId="13" xfId="0" applyFont="1" applyFill="1" applyBorder="1" applyAlignment="1">
      <alignment/>
    </xf>
    <xf numFmtId="0" fontId="74" fillId="42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105" fillId="33" borderId="13" xfId="0" applyFont="1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 horizontal="center" vertical="center"/>
      <protection/>
    </xf>
    <xf numFmtId="0" fontId="5" fillId="6" borderId="10" xfId="0" applyFont="1" applyFill="1" applyBorder="1" applyAlignment="1" applyProtection="1">
      <alignment horizontal="center"/>
      <protection/>
    </xf>
    <xf numFmtId="0" fontId="120" fillId="43" borderId="0" xfId="0" applyFont="1" applyFill="1" applyAlignment="1">
      <alignment/>
    </xf>
    <xf numFmtId="0" fontId="4" fillId="43" borderId="0" xfId="0" applyFont="1" applyFill="1" applyAlignment="1" applyProtection="1">
      <alignment/>
      <protection/>
    </xf>
    <xf numFmtId="0" fontId="121" fillId="33" borderId="13" xfId="0" applyFont="1" applyFill="1" applyBorder="1" applyAlignment="1" applyProtection="1">
      <alignment horizontal="left"/>
      <protection/>
    </xf>
    <xf numFmtId="0" fontId="118" fillId="0" borderId="0" xfId="0" applyFont="1" applyAlignment="1">
      <alignment/>
    </xf>
    <xf numFmtId="178" fontId="105" fillId="33" borderId="10" xfId="0" applyNumberFormat="1" applyFont="1" applyFill="1" applyBorder="1" applyAlignment="1" applyProtection="1">
      <alignment/>
      <protection/>
    </xf>
    <xf numFmtId="3" fontId="5" fillId="0" borderId="0" xfId="57" applyNumberFormat="1" applyFont="1" applyFill="1" applyBorder="1" applyAlignment="1" applyProtection="1">
      <alignment horizontal="center" vertical="center"/>
      <protection locked="0"/>
    </xf>
    <xf numFmtId="3" fontId="5" fillId="0" borderId="0" xfId="57" applyNumberFormat="1" applyFont="1" applyFill="1" applyBorder="1" applyAlignment="1" applyProtection="1">
      <alignment horizontal="left" vertical="center"/>
      <protection/>
    </xf>
    <xf numFmtId="3" fontId="5" fillId="0" borderId="0" xfId="57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/>
      <protection locked="0"/>
    </xf>
    <xf numFmtId="0" fontId="105" fillId="0" borderId="17" xfId="0" applyFont="1" applyFill="1" applyBorder="1" applyAlignment="1" applyProtection="1">
      <alignment/>
      <protection/>
    </xf>
    <xf numFmtId="178" fontId="105" fillId="0" borderId="18" xfId="0" applyNumberFormat="1" applyFont="1" applyFill="1" applyBorder="1" applyAlignment="1" applyProtection="1">
      <alignment/>
      <protection/>
    </xf>
    <xf numFmtId="178" fontId="105" fillId="0" borderId="11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105" fillId="44" borderId="17" xfId="0" applyFont="1" applyFill="1" applyBorder="1" applyAlignment="1" applyProtection="1">
      <alignment/>
      <protection/>
    </xf>
    <xf numFmtId="178" fontId="105" fillId="44" borderId="11" xfId="0" applyNumberFormat="1" applyFont="1" applyFill="1" applyBorder="1" applyAlignment="1" applyProtection="1">
      <alignment/>
      <protection/>
    </xf>
    <xf numFmtId="0" fontId="122" fillId="34" borderId="0" xfId="0" applyFont="1" applyFill="1" applyAlignment="1" applyProtection="1">
      <alignment/>
      <protection/>
    </xf>
    <xf numFmtId="0" fontId="4" fillId="5" borderId="10" xfId="0" applyFont="1" applyFill="1" applyBorder="1" applyAlignment="1" applyProtection="1">
      <alignment/>
      <protection/>
    </xf>
    <xf numFmtId="3" fontId="5" fillId="5" borderId="15" xfId="0" applyNumberFormat="1" applyFont="1" applyFill="1" applyBorder="1" applyAlignment="1">
      <alignment horizontal="center"/>
    </xf>
    <xf numFmtId="3" fontId="105" fillId="5" borderId="10" xfId="0" applyNumberFormat="1" applyFont="1" applyFill="1" applyBorder="1" applyAlignment="1">
      <alignment/>
    </xf>
    <xf numFmtId="3" fontId="4" fillId="5" borderId="10" xfId="0" applyNumberFormat="1" applyFont="1" applyFill="1" applyBorder="1" applyAlignment="1" applyProtection="1">
      <alignment/>
      <protection/>
    </xf>
    <xf numFmtId="0" fontId="4" fillId="5" borderId="10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horizontal="center"/>
      <protection/>
    </xf>
    <xf numFmtId="3" fontId="5" fillId="5" borderId="10" xfId="0" applyNumberFormat="1" applyFont="1" applyFill="1" applyBorder="1" applyAlignment="1" applyProtection="1">
      <alignment horizontal="center"/>
      <protection/>
    </xf>
    <xf numFmtId="10" fontId="4" fillId="5" borderId="1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123" fillId="0" borderId="0" xfId="0" applyNumberFormat="1" applyFont="1" applyAlignment="1">
      <alignment/>
    </xf>
    <xf numFmtId="10" fontId="105" fillId="44" borderId="39" xfId="0" applyNumberFormat="1" applyFont="1" applyFill="1" applyBorder="1" applyAlignment="1" applyProtection="1">
      <alignment vertical="center" wrapText="1"/>
      <protection/>
    </xf>
    <xf numFmtId="178" fontId="4" fillId="34" borderId="39" xfId="0" applyNumberFormat="1" applyFont="1" applyFill="1" applyBorder="1" applyAlignment="1" applyProtection="1">
      <alignment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124" fillId="0" borderId="39" xfId="0" applyFont="1" applyFill="1" applyBorder="1" applyAlignment="1" applyProtection="1">
      <alignment/>
      <protection/>
    </xf>
    <xf numFmtId="0" fontId="125" fillId="33" borderId="13" xfId="0" applyFont="1" applyFill="1" applyBorder="1" applyAlignment="1" applyProtection="1">
      <alignment/>
      <protection/>
    </xf>
    <xf numFmtId="0" fontId="126" fillId="43" borderId="0" xfId="0" applyFont="1" applyFill="1" applyAlignment="1">
      <alignment/>
    </xf>
    <xf numFmtId="0" fontId="127" fillId="43" borderId="0" xfId="0" applyFont="1" applyFill="1" applyAlignment="1" applyProtection="1">
      <alignment/>
      <protection/>
    </xf>
    <xf numFmtId="0" fontId="110" fillId="0" borderId="0" xfId="0" applyFont="1" applyFill="1" applyAlignment="1" applyProtection="1">
      <alignment vertical="top"/>
      <protection/>
    </xf>
    <xf numFmtId="10" fontId="127" fillId="36" borderId="10" xfId="0" applyNumberFormat="1" applyFont="1" applyFill="1" applyBorder="1" applyAlignment="1">
      <alignment/>
    </xf>
    <xf numFmtId="0" fontId="113" fillId="0" borderId="10" xfId="0" applyNumberFormat="1" applyFont="1" applyFill="1" applyBorder="1" applyAlignment="1" applyProtection="1">
      <alignment/>
      <protection/>
    </xf>
    <xf numFmtId="177" fontId="128" fillId="0" borderId="10" xfId="54" applyNumberFormat="1" applyFont="1" applyFill="1" applyBorder="1" applyProtection="1">
      <alignment/>
      <protection locked="0"/>
    </xf>
    <xf numFmtId="10" fontId="129" fillId="33" borderId="10" xfId="57" applyNumberFormat="1" applyFont="1" applyFill="1" applyBorder="1" applyAlignment="1" applyProtection="1">
      <alignment/>
      <protection/>
    </xf>
    <xf numFmtId="188" fontId="129" fillId="0" borderId="10" xfId="57" applyNumberFormat="1" applyFont="1" applyFill="1" applyBorder="1" applyAlignment="1" applyProtection="1">
      <alignment/>
      <protection locked="0"/>
    </xf>
    <xf numFmtId="3" fontId="128" fillId="33" borderId="10" xfId="54" applyNumberFormat="1" applyFont="1" applyFill="1" applyBorder="1" applyAlignment="1" applyProtection="1">
      <alignment horizontal="right"/>
      <protection/>
    </xf>
    <xf numFmtId="3" fontId="130" fillId="33" borderId="10" xfId="54" applyNumberFormat="1" applyFont="1" applyFill="1" applyBorder="1" applyProtection="1">
      <alignment/>
      <protection/>
    </xf>
    <xf numFmtId="1" fontId="5" fillId="10" borderId="10" xfId="57" applyNumberFormat="1" applyFont="1" applyFill="1" applyBorder="1" applyAlignment="1" applyProtection="1">
      <alignment horizontal="center"/>
      <protection locked="0"/>
    </xf>
    <xf numFmtId="1" fontId="5" fillId="7" borderId="10" xfId="57" applyNumberFormat="1" applyFont="1" applyFill="1" applyBorder="1" applyAlignment="1" applyProtection="1">
      <alignment horizontal="center"/>
      <protection locked="0"/>
    </xf>
    <xf numFmtId="177" fontId="26" fillId="0" borderId="10" xfId="54" applyNumberFormat="1" applyFont="1" applyBorder="1" applyProtection="1">
      <alignment/>
      <protection locked="0"/>
    </xf>
    <xf numFmtId="10" fontId="19" fillId="0" borderId="10" xfId="57" applyNumberFormat="1" applyFont="1" applyFill="1" applyBorder="1" applyAlignment="1" applyProtection="1">
      <alignment/>
      <protection locked="0"/>
    </xf>
    <xf numFmtId="0" fontId="110" fillId="40" borderId="44" xfId="0" applyFont="1" applyFill="1" applyBorder="1" applyAlignment="1" applyProtection="1">
      <alignment/>
      <protection/>
    </xf>
    <xf numFmtId="0" fontId="105" fillId="40" borderId="45" xfId="0" applyFont="1" applyFill="1" applyBorder="1" applyAlignment="1" applyProtection="1">
      <alignment/>
      <protection/>
    </xf>
    <xf numFmtId="0" fontId="105" fillId="40" borderId="46" xfId="0" applyFont="1" applyFill="1" applyBorder="1" applyAlignment="1" applyProtection="1">
      <alignment/>
      <protection/>
    </xf>
    <xf numFmtId="0" fontId="110" fillId="4" borderId="44" xfId="0" applyFont="1" applyFill="1" applyBorder="1" applyAlignment="1" applyProtection="1">
      <alignment/>
      <protection/>
    </xf>
    <xf numFmtId="0" fontId="121" fillId="4" borderId="46" xfId="0" applyFont="1" applyFill="1" applyBorder="1" applyAlignment="1" applyProtection="1">
      <alignment/>
      <protection/>
    </xf>
    <xf numFmtId="10" fontId="15" fillId="0" borderId="13" xfId="57" applyNumberFormat="1" applyFont="1" applyFill="1" applyBorder="1" applyAlignment="1">
      <alignment horizontal="center"/>
      <protection/>
    </xf>
    <xf numFmtId="0" fontId="110" fillId="34" borderId="0" xfId="0" applyFont="1" applyFill="1" applyBorder="1" applyAlignment="1" applyProtection="1">
      <alignment horizontal="center" vertical="center" wrapText="1"/>
      <protection/>
    </xf>
    <xf numFmtId="3" fontId="121" fillId="33" borderId="10" xfId="57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3" fontId="5" fillId="2" borderId="39" xfId="57" applyNumberFormat="1" applyFont="1" applyFill="1" applyBorder="1" applyAlignment="1" applyProtection="1">
      <alignment horizontal="center" vertical="center"/>
      <protection/>
    </xf>
    <xf numFmtId="0" fontId="121" fillId="2" borderId="13" xfId="0" applyFont="1" applyFill="1" applyBorder="1" applyAlignment="1" applyProtection="1">
      <alignment/>
      <protection/>
    </xf>
    <xf numFmtId="10" fontId="105" fillId="2" borderId="0" xfId="0" applyNumberFormat="1" applyFont="1" applyFill="1" applyAlignment="1" applyProtection="1">
      <alignment/>
      <protection/>
    </xf>
    <xf numFmtId="10" fontId="105" fillId="2" borderId="10" xfId="0" applyNumberFormat="1" applyFont="1" applyFill="1" applyBorder="1" applyAlignment="1" applyProtection="1">
      <alignment vertical="center" wrapText="1"/>
      <protection/>
    </xf>
    <xf numFmtId="0" fontId="131" fillId="0" borderId="47" xfId="0" applyFont="1" applyFill="1" applyBorder="1" applyAlignment="1" applyProtection="1">
      <alignment horizontal="center"/>
      <protection hidden="1"/>
    </xf>
    <xf numFmtId="0" fontId="114" fillId="2" borderId="13" xfId="0" applyFont="1" applyFill="1" applyBorder="1" applyAlignment="1" applyProtection="1">
      <alignment/>
      <protection hidden="1"/>
    </xf>
    <xf numFmtId="0" fontId="114" fillId="2" borderId="16" xfId="0" applyFont="1" applyFill="1" applyBorder="1" applyAlignment="1" applyProtection="1">
      <alignment/>
      <protection hidden="1"/>
    </xf>
    <xf numFmtId="0" fontId="114" fillId="2" borderId="15" xfId="0" applyFont="1" applyFill="1" applyBorder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14" fillId="2" borderId="14" xfId="0" applyFont="1" applyFill="1" applyBorder="1" applyAlignment="1" applyProtection="1">
      <alignment horizontal="justify"/>
      <protection hidden="1"/>
    </xf>
    <xf numFmtId="0" fontId="114" fillId="2" borderId="17" xfId="0" applyFont="1" applyFill="1" applyBorder="1" applyAlignment="1" applyProtection="1">
      <alignment horizontal="justify"/>
      <protection hidden="1"/>
    </xf>
    <xf numFmtId="0" fontId="114" fillId="2" borderId="18" xfId="0" applyFont="1" applyFill="1" applyBorder="1" applyAlignment="1" applyProtection="1">
      <alignment horizontal="justify"/>
      <protection hidden="1"/>
    </xf>
    <xf numFmtId="0" fontId="114" fillId="2" borderId="24" xfId="0" applyFont="1" applyFill="1" applyBorder="1" applyAlignment="1" applyProtection="1">
      <alignment horizontal="justify"/>
      <protection hidden="1"/>
    </xf>
    <xf numFmtId="0" fontId="114" fillId="2" borderId="0" xfId="0" applyFont="1" applyFill="1" applyBorder="1" applyAlignment="1" applyProtection="1">
      <alignment horizontal="justify"/>
      <protection hidden="1"/>
    </xf>
    <xf numFmtId="0" fontId="114" fillId="2" borderId="40" xfId="0" applyFont="1" applyFill="1" applyBorder="1" applyAlignment="1" applyProtection="1">
      <alignment horizontal="justify"/>
      <protection hidden="1"/>
    </xf>
    <xf numFmtId="0" fontId="114" fillId="2" borderId="22" xfId="0" applyFont="1" applyFill="1" applyBorder="1" applyAlignment="1" applyProtection="1">
      <alignment horizontal="justify"/>
      <protection hidden="1"/>
    </xf>
    <xf numFmtId="0" fontId="114" fillId="2" borderId="19" xfId="0" applyFont="1" applyFill="1" applyBorder="1" applyAlignment="1" applyProtection="1">
      <alignment horizontal="justify"/>
      <protection hidden="1"/>
    </xf>
    <xf numFmtId="0" fontId="114" fillId="2" borderId="25" xfId="0" applyFont="1" applyFill="1" applyBorder="1" applyAlignment="1" applyProtection="1">
      <alignment horizontal="justify"/>
      <protection hidden="1"/>
    </xf>
    <xf numFmtId="9" fontId="114" fillId="2" borderId="24" xfId="57" applyFont="1" applyFill="1" applyBorder="1" applyAlignment="1" applyProtection="1">
      <alignment vertical="center"/>
      <protection hidden="1"/>
    </xf>
    <xf numFmtId="9" fontId="114" fillId="2" borderId="24" xfId="57" applyFont="1" applyFill="1" applyBorder="1" applyAlignment="1" applyProtection="1">
      <alignment horizontal="justify" vertical="center"/>
      <protection hidden="1"/>
    </xf>
    <xf numFmtId="2" fontId="114" fillId="2" borderId="24" xfId="57" applyNumberFormat="1" applyFont="1" applyFill="1" applyBorder="1" applyAlignment="1" applyProtection="1">
      <alignment horizontal="justify"/>
      <protection hidden="1"/>
    </xf>
    <xf numFmtId="9" fontId="114" fillId="2" borderId="24" xfId="57" applyFont="1" applyFill="1" applyBorder="1" applyAlignment="1" applyProtection="1">
      <alignment horizontal="justify"/>
      <protection hidden="1"/>
    </xf>
    <xf numFmtId="0" fontId="121" fillId="7" borderId="0" xfId="0" applyFont="1" applyFill="1" applyAlignment="1">
      <alignment horizontal="center"/>
    </xf>
    <xf numFmtId="0" fontId="132" fillId="45" borderId="0" xfId="0" applyFont="1" applyFill="1" applyAlignment="1" applyProtection="1">
      <alignment horizontal="justify" vertical="center" wrapText="1"/>
      <protection locked="0"/>
    </xf>
    <xf numFmtId="0" fontId="110" fillId="33" borderId="10" xfId="0" applyFont="1" applyFill="1" applyBorder="1" applyAlignment="1" applyProtection="1">
      <alignment horizontal="center"/>
      <protection/>
    </xf>
    <xf numFmtId="0" fontId="110" fillId="33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110" fillId="33" borderId="12" xfId="0" applyFont="1" applyFill="1" applyBorder="1" applyAlignment="1" applyProtection="1">
      <alignment horizontal="left"/>
      <protection/>
    </xf>
    <xf numFmtId="0" fontId="133" fillId="33" borderId="10" xfId="0" applyFont="1" applyFill="1" applyBorder="1" applyAlignment="1" applyProtection="1">
      <alignment horizontal="left"/>
      <protection/>
    </xf>
    <xf numFmtId="0" fontId="110" fillId="33" borderId="10" xfId="0" applyFont="1" applyFill="1" applyBorder="1" applyAlignment="1" applyProtection="1">
      <alignment horizontal="left"/>
      <protection/>
    </xf>
    <xf numFmtId="0" fontId="131" fillId="0" borderId="47" xfId="0" applyFont="1" applyFill="1" applyBorder="1" applyAlignment="1" applyProtection="1">
      <alignment horizontal="center"/>
      <protection/>
    </xf>
    <xf numFmtId="0" fontId="110" fillId="33" borderId="20" xfId="0" applyFont="1" applyFill="1" applyBorder="1" applyAlignment="1" applyProtection="1">
      <alignment horizontal="center"/>
      <protection/>
    </xf>
    <xf numFmtId="0" fontId="110" fillId="33" borderId="26" xfId="0" applyFont="1" applyFill="1" applyBorder="1" applyAlignment="1" applyProtection="1">
      <alignment horizontal="center"/>
      <protection/>
    </xf>
    <xf numFmtId="0" fontId="110" fillId="33" borderId="13" xfId="0" applyFont="1" applyFill="1" applyBorder="1" applyAlignment="1" applyProtection="1">
      <alignment horizontal="center"/>
      <protection/>
    </xf>
    <xf numFmtId="0" fontId="110" fillId="33" borderId="15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horizontal="center"/>
      <protection/>
    </xf>
    <xf numFmtId="177" fontId="5" fillId="33" borderId="20" xfId="0" applyNumberFormat="1" applyFont="1" applyFill="1" applyBorder="1" applyAlignment="1" applyProtection="1">
      <alignment horizontal="left" vertical="center" indent="5"/>
      <protection/>
    </xf>
    <xf numFmtId="177" fontId="5" fillId="33" borderId="21" xfId="0" applyNumberFormat="1" applyFont="1" applyFill="1" applyBorder="1" applyAlignment="1" applyProtection="1">
      <alignment horizontal="left" vertical="center" indent="5"/>
      <protection/>
    </xf>
    <xf numFmtId="177" fontId="5" fillId="33" borderId="12" xfId="0" applyNumberFormat="1" applyFont="1" applyFill="1" applyBorder="1" applyAlignment="1" applyProtection="1">
      <alignment horizontal="left" vertical="center" indent="5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left" indent="5"/>
      <protection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1" xfId="0" applyNumberFormat="1" applyFont="1" applyFill="1" applyBorder="1" applyAlignment="1" applyProtection="1">
      <alignment horizontal="center" vertical="center"/>
      <protection/>
    </xf>
    <xf numFmtId="177" fontId="5" fillId="33" borderId="26" xfId="0" applyNumberFormat="1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3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23" fillId="0" borderId="47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177" fontId="5" fillId="33" borderId="12" xfId="54" applyNumberFormat="1" applyFont="1" applyFill="1" applyBorder="1" applyAlignment="1" applyProtection="1">
      <alignment horizontal="left" vertical="center"/>
      <protection/>
    </xf>
    <xf numFmtId="177" fontId="21" fillId="0" borderId="0" xfId="54" applyNumberFormat="1" applyFont="1" applyAlignment="1">
      <alignment wrapText="1"/>
      <protection/>
    </xf>
    <xf numFmtId="177" fontId="5" fillId="33" borderId="13" xfId="54" applyNumberFormat="1" applyFont="1" applyFill="1" applyBorder="1" applyAlignment="1" applyProtection="1">
      <alignment horizontal="left" vertical="center"/>
      <protection/>
    </xf>
    <xf numFmtId="177" fontId="5" fillId="33" borderId="15" xfId="54" applyNumberFormat="1" applyFont="1" applyFill="1" applyBorder="1" applyAlignment="1" applyProtection="1">
      <alignment horizontal="left" vertical="center"/>
      <protection/>
    </xf>
    <xf numFmtId="1" fontId="5" fillId="10" borderId="13" xfId="57" applyNumberFormat="1" applyFont="1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177" fontId="5" fillId="33" borderId="13" xfId="54" applyNumberFormat="1" applyFont="1" applyFill="1" applyBorder="1" applyAlignment="1" applyProtection="1">
      <alignment horizontal="center" vertical="center"/>
      <protection/>
    </xf>
    <xf numFmtId="177" fontId="5" fillId="33" borderId="15" xfId="54" applyNumberFormat="1" applyFont="1" applyFill="1" applyBorder="1" applyAlignment="1" applyProtection="1">
      <alignment horizontal="center" vertical="center"/>
      <protection/>
    </xf>
    <xf numFmtId="0" fontId="5" fillId="33" borderId="13" xfId="54" applyFont="1" applyFill="1" applyBorder="1" applyAlignment="1" applyProtection="1">
      <alignment horizontal="center"/>
      <protection/>
    </xf>
    <xf numFmtId="0" fontId="5" fillId="33" borderId="15" xfId="54" applyFont="1" applyFill="1" applyBorder="1" applyAlignment="1" applyProtection="1">
      <alignment horizontal="center"/>
      <protection/>
    </xf>
    <xf numFmtId="0" fontId="110" fillId="33" borderId="10" xfId="54" applyFont="1" applyFill="1" applyBorder="1" applyAlignment="1" applyProtection="1">
      <alignment horizont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177" fontId="134" fillId="40" borderId="24" xfId="54" applyNumberFormat="1" applyFont="1" applyFill="1" applyBorder="1" applyAlignment="1">
      <alignment wrapText="1"/>
      <protection/>
    </xf>
    <xf numFmtId="177" fontId="134" fillId="40" borderId="0" xfId="54" applyNumberFormat="1" applyFont="1" applyFill="1" applyAlignment="1">
      <alignment wrapText="1"/>
      <protection/>
    </xf>
    <xf numFmtId="0" fontId="5" fillId="33" borderId="51" xfId="54" applyFont="1" applyFill="1" applyBorder="1" applyAlignment="1" applyProtection="1">
      <alignment horizontal="center"/>
      <protection/>
    </xf>
    <xf numFmtId="0" fontId="5" fillId="33" borderId="52" xfId="54" applyFont="1" applyFill="1" applyBorder="1" applyAlignment="1" applyProtection="1">
      <alignment horizontal="center"/>
      <protection/>
    </xf>
    <xf numFmtId="0" fontId="5" fillId="33" borderId="53" xfId="54" applyFont="1" applyFill="1" applyBorder="1" applyAlignment="1" applyProtection="1">
      <alignment horizontal="center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5" fillId="33" borderId="56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4" fillId="39" borderId="48" xfId="0" applyFont="1" applyFill="1" applyBorder="1" applyAlignment="1" applyProtection="1">
      <alignment horizontal="left"/>
      <protection/>
    </xf>
    <xf numFmtId="0" fontId="4" fillId="39" borderId="50" xfId="0" applyFont="1" applyFill="1" applyBorder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135" fillId="43" borderId="13" xfId="0" applyFont="1" applyFill="1" applyBorder="1" applyAlignment="1">
      <alignment horizontal="center" vertical="top" wrapText="1"/>
    </xf>
    <xf numFmtId="0" fontId="135" fillId="43" borderId="15" xfId="0" applyFont="1" applyFill="1" applyBorder="1" applyAlignment="1">
      <alignment horizontal="center" vertical="top"/>
    </xf>
    <xf numFmtId="0" fontId="110" fillId="4" borderId="57" xfId="0" applyFont="1" applyFill="1" applyBorder="1" applyAlignment="1" applyProtection="1">
      <alignment horizontal="center" vertical="center" wrapText="1"/>
      <protection/>
    </xf>
    <xf numFmtId="0" fontId="136" fillId="46" borderId="0" xfId="0" applyFont="1" applyFill="1" applyAlignment="1">
      <alignment horizontal="center" vertical="center" wrapText="1"/>
    </xf>
    <xf numFmtId="0" fontId="110" fillId="40" borderId="44" xfId="0" applyFont="1" applyFill="1" applyBorder="1" applyAlignment="1" applyProtection="1">
      <alignment horizontal="justify" vertical="center"/>
      <protection/>
    </xf>
    <xf numFmtId="0" fontId="110" fillId="40" borderId="45" xfId="0" applyFont="1" applyFill="1" applyBorder="1" applyAlignment="1" applyProtection="1">
      <alignment horizontal="justify" vertical="center"/>
      <protection/>
    </xf>
    <xf numFmtId="0" fontId="110" fillId="40" borderId="46" xfId="0" applyFont="1" applyFill="1" applyBorder="1" applyAlignment="1" applyProtection="1">
      <alignment horizontal="justify" vertical="center"/>
      <protection/>
    </xf>
    <xf numFmtId="0" fontId="135" fillId="43" borderId="13" xfId="0" applyFont="1" applyFill="1" applyBorder="1" applyAlignment="1">
      <alignment horizontal="center" vertical="top"/>
    </xf>
    <xf numFmtId="0" fontId="135" fillId="43" borderId="13" xfId="0" applyFont="1" applyFill="1" applyBorder="1" applyAlignment="1">
      <alignment horizontal="center"/>
    </xf>
    <xf numFmtId="0" fontId="135" fillId="43" borderId="15" xfId="0" applyFont="1" applyFill="1" applyBorder="1" applyAlignment="1">
      <alignment horizontal="center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1409700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38100</xdr:rowOff>
    </xdr:from>
    <xdr:to>
      <xdr:col>0</xdr:col>
      <xdr:colOff>1514475</xdr:colOff>
      <xdr:row>33</xdr:row>
      <xdr:rowOff>38100</xdr:rowOff>
    </xdr:to>
    <xdr:sp macro="[0]!Macro1">
      <xdr:nvSpPr>
        <xdr:cNvPr id="2" name="AutoShape 3"/>
        <xdr:cNvSpPr>
          <a:spLocks/>
        </xdr:cNvSpPr>
      </xdr:nvSpPr>
      <xdr:spPr>
        <a:xfrm>
          <a:off x="285750" y="4371975"/>
          <a:ext cx="1228725" cy="2667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47625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1400175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1400175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52</xdr:row>
      <xdr:rowOff>85725</xdr:rowOff>
    </xdr:from>
    <xdr:to>
      <xdr:col>14</xdr:col>
      <xdr:colOff>323850</xdr:colOff>
      <xdr:row>60</xdr:row>
      <xdr:rowOff>123825</xdr:rowOff>
    </xdr:to>
    <xdr:sp>
      <xdr:nvSpPr>
        <xdr:cNvPr id="2" name="Conexão recta unidireccional 3"/>
        <xdr:cNvSpPr>
          <a:spLocks/>
        </xdr:cNvSpPr>
      </xdr:nvSpPr>
      <xdr:spPr>
        <a:xfrm>
          <a:off x="9829800" y="8705850"/>
          <a:ext cx="9525" cy="13430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342900</xdr:colOff>
      <xdr:row>58</xdr:row>
      <xdr:rowOff>85725</xdr:rowOff>
    </xdr:from>
    <xdr:to>
      <xdr:col>14</xdr:col>
      <xdr:colOff>561975</xdr:colOff>
      <xdr:row>58</xdr:row>
      <xdr:rowOff>85725</xdr:rowOff>
    </xdr:to>
    <xdr:sp>
      <xdr:nvSpPr>
        <xdr:cNvPr id="3" name="Conexão recta unidireccional 11"/>
        <xdr:cNvSpPr>
          <a:spLocks/>
        </xdr:cNvSpPr>
      </xdr:nvSpPr>
      <xdr:spPr>
        <a:xfrm>
          <a:off x="9858375" y="96774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361950</xdr:colOff>
      <xdr:row>62</xdr:row>
      <xdr:rowOff>95250</xdr:rowOff>
    </xdr:from>
    <xdr:to>
      <xdr:col>15</xdr:col>
      <xdr:colOff>0</xdr:colOff>
      <xdr:row>62</xdr:row>
      <xdr:rowOff>95250</xdr:rowOff>
    </xdr:to>
    <xdr:sp>
      <xdr:nvSpPr>
        <xdr:cNvPr id="4" name="Conexão recta unidireccional 12"/>
        <xdr:cNvSpPr>
          <a:spLocks/>
        </xdr:cNvSpPr>
      </xdr:nvSpPr>
      <xdr:spPr>
        <a:xfrm>
          <a:off x="9877425" y="103441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228600</xdr:colOff>
      <xdr:row>31</xdr:row>
      <xdr:rowOff>0</xdr:rowOff>
    </xdr:from>
    <xdr:to>
      <xdr:col>14</xdr:col>
      <xdr:colOff>276225</xdr:colOff>
      <xdr:row>40</xdr:row>
      <xdr:rowOff>38100</xdr:rowOff>
    </xdr:to>
    <xdr:sp>
      <xdr:nvSpPr>
        <xdr:cNvPr id="5" name="Conexão recta unidireccional 13"/>
        <xdr:cNvSpPr>
          <a:spLocks/>
        </xdr:cNvSpPr>
      </xdr:nvSpPr>
      <xdr:spPr>
        <a:xfrm>
          <a:off x="9744075" y="5257800"/>
          <a:ext cx="47625" cy="14573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304800</xdr:colOff>
      <xdr:row>37</xdr:row>
      <xdr:rowOff>66675</xdr:rowOff>
    </xdr:from>
    <xdr:to>
      <xdr:col>14</xdr:col>
      <xdr:colOff>514350</xdr:colOff>
      <xdr:row>37</xdr:row>
      <xdr:rowOff>66675</xdr:rowOff>
    </xdr:to>
    <xdr:sp>
      <xdr:nvSpPr>
        <xdr:cNvPr id="6" name="Conexão recta unidireccional 16"/>
        <xdr:cNvSpPr>
          <a:spLocks/>
        </xdr:cNvSpPr>
      </xdr:nvSpPr>
      <xdr:spPr>
        <a:xfrm>
          <a:off x="9820275" y="6296025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295275</xdr:colOff>
      <xdr:row>17</xdr:row>
      <xdr:rowOff>85725</xdr:rowOff>
    </xdr:from>
    <xdr:to>
      <xdr:col>14</xdr:col>
      <xdr:colOff>504825</xdr:colOff>
      <xdr:row>17</xdr:row>
      <xdr:rowOff>85725</xdr:rowOff>
    </xdr:to>
    <xdr:sp>
      <xdr:nvSpPr>
        <xdr:cNvPr id="7" name="Conexão recta unidireccional 8"/>
        <xdr:cNvSpPr>
          <a:spLocks/>
        </xdr:cNvSpPr>
      </xdr:nvSpPr>
      <xdr:spPr>
        <a:xfrm>
          <a:off x="9810750" y="28860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352425</xdr:colOff>
      <xdr:row>19</xdr:row>
      <xdr:rowOff>104775</xdr:rowOff>
    </xdr:from>
    <xdr:to>
      <xdr:col>14</xdr:col>
      <xdr:colOff>542925</xdr:colOff>
      <xdr:row>19</xdr:row>
      <xdr:rowOff>104775</xdr:rowOff>
    </xdr:to>
    <xdr:sp>
      <xdr:nvSpPr>
        <xdr:cNvPr id="8" name="Conexão recta unidireccional 9"/>
        <xdr:cNvSpPr>
          <a:spLocks/>
        </xdr:cNvSpPr>
      </xdr:nvSpPr>
      <xdr:spPr>
        <a:xfrm>
          <a:off x="9867900" y="3238500"/>
          <a:ext cx="1905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209550</xdr:colOff>
      <xdr:row>9</xdr:row>
      <xdr:rowOff>152400</xdr:rowOff>
    </xdr:from>
    <xdr:to>
      <xdr:col>14</xdr:col>
      <xdr:colOff>228600</xdr:colOff>
      <xdr:row>19</xdr:row>
      <xdr:rowOff>57150</xdr:rowOff>
    </xdr:to>
    <xdr:sp>
      <xdr:nvSpPr>
        <xdr:cNvPr id="9" name="Conexão recta unidireccional 10"/>
        <xdr:cNvSpPr>
          <a:spLocks/>
        </xdr:cNvSpPr>
      </xdr:nvSpPr>
      <xdr:spPr>
        <a:xfrm>
          <a:off x="9725025" y="1657350"/>
          <a:ext cx="19050" cy="15335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342900</xdr:colOff>
      <xdr:row>39</xdr:row>
      <xdr:rowOff>76200</xdr:rowOff>
    </xdr:from>
    <xdr:to>
      <xdr:col>14</xdr:col>
      <xdr:colOff>561975</xdr:colOff>
      <xdr:row>39</xdr:row>
      <xdr:rowOff>76200</xdr:rowOff>
    </xdr:to>
    <xdr:sp>
      <xdr:nvSpPr>
        <xdr:cNvPr id="10" name="Conexão recta unidireccional 12"/>
        <xdr:cNvSpPr>
          <a:spLocks/>
        </xdr:cNvSpPr>
      </xdr:nvSpPr>
      <xdr:spPr>
        <a:xfrm>
          <a:off x="9858375" y="66294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361950</xdr:colOff>
      <xdr:row>62</xdr:row>
      <xdr:rowOff>76200</xdr:rowOff>
    </xdr:from>
    <xdr:to>
      <xdr:col>15</xdr:col>
      <xdr:colOff>0</xdr:colOff>
      <xdr:row>62</xdr:row>
      <xdr:rowOff>76200</xdr:rowOff>
    </xdr:to>
    <xdr:sp>
      <xdr:nvSpPr>
        <xdr:cNvPr id="11" name="Conexão recta unidireccional 17"/>
        <xdr:cNvSpPr>
          <a:spLocks/>
        </xdr:cNvSpPr>
      </xdr:nvSpPr>
      <xdr:spPr>
        <a:xfrm>
          <a:off x="9877425" y="103251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361950</xdr:colOff>
      <xdr:row>62</xdr:row>
      <xdr:rowOff>76200</xdr:rowOff>
    </xdr:from>
    <xdr:to>
      <xdr:col>15</xdr:col>
      <xdr:colOff>0</xdr:colOff>
      <xdr:row>62</xdr:row>
      <xdr:rowOff>76200</xdr:rowOff>
    </xdr:to>
    <xdr:sp>
      <xdr:nvSpPr>
        <xdr:cNvPr id="12" name="Conexão recta unidireccional 12"/>
        <xdr:cNvSpPr>
          <a:spLocks/>
        </xdr:cNvSpPr>
      </xdr:nvSpPr>
      <xdr:spPr>
        <a:xfrm>
          <a:off x="9877425" y="1032510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342900</xdr:colOff>
      <xdr:row>60</xdr:row>
      <xdr:rowOff>85725</xdr:rowOff>
    </xdr:from>
    <xdr:to>
      <xdr:col>14</xdr:col>
      <xdr:colOff>571500</xdr:colOff>
      <xdr:row>60</xdr:row>
      <xdr:rowOff>85725</xdr:rowOff>
    </xdr:to>
    <xdr:sp>
      <xdr:nvSpPr>
        <xdr:cNvPr id="13" name="Conexão recta unidireccional 12"/>
        <xdr:cNvSpPr>
          <a:spLocks/>
        </xdr:cNvSpPr>
      </xdr:nvSpPr>
      <xdr:spPr>
        <a:xfrm>
          <a:off x="9858375" y="10010775"/>
          <a:ext cx="2286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1409700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1428750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1409700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arco\Pictures\+%20%20%20%20%20%20%20%20%20F.CALC%20%205%20e%2010%20anos%20atualizadas%20mar.2019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arco\Pictures\+%20%20%20%20%20%20%20%20%20F.CALC%20%205%20e%2010%20anos%20atualizadas%20mar.2019\Trabalho\ClientesActivos\Collab\Or&#231;mto%202006%20v2\Or&#231;mto%20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B1:B5"/>
  <sheetViews>
    <sheetView tabSelected="1" zoomScale="90" zoomScaleNormal="90" zoomScalePageLayoutView="0" workbookViewId="0" topLeftCell="B3">
      <selection activeCell="B3" sqref="B3"/>
    </sheetView>
  </sheetViews>
  <sheetFormatPr defaultColWidth="9.140625" defaultRowHeight="12.75"/>
  <cols>
    <col min="1" max="1" width="3.7109375" style="8" customWidth="1"/>
    <col min="2" max="2" width="112.00390625" style="0" customWidth="1"/>
    <col min="3" max="73" width="3.7109375" style="8" customWidth="1"/>
  </cols>
  <sheetData>
    <row r="1" ht="196.5" customHeight="1">
      <c r="B1" s="380" t="s">
        <v>436</v>
      </c>
    </row>
    <row r="2" ht="42" customHeight="1">
      <c r="B2" s="381" t="s">
        <v>225</v>
      </c>
    </row>
    <row r="3" ht="252.75" customHeight="1">
      <c r="B3" s="377" t="s">
        <v>438</v>
      </c>
    </row>
    <row r="4" ht="24.75" customHeight="1">
      <c r="B4" s="378"/>
    </row>
    <row r="5" ht="35.25" customHeight="1">
      <c r="B5" s="443" t="s">
        <v>435</v>
      </c>
    </row>
    <row r="6" s="8" customFormat="1" ht="409.5" customHeight="1"/>
    <row r="7" s="8" customFormat="1" ht="409.5" customHeight="1"/>
    <row r="8" s="8" customFormat="1" ht="409.5" customHeight="1"/>
    <row r="9" s="8" customFormat="1" ht="409.5" customHeight="1"/>
    <row r="10" s="8" customFormat="1" ht="409.5" customHeight="1"/>
    <row r="11" s="8" customFormat="1" ht="409.5" customHeight="1"/>
    <row r="12" s="8" customFormat="1" ht="409.5" customHeight="1"/>
    <row r="13" s="8" customFormat="1" ht="409.5" customHeight="1"/>
    <row r="14" s="8" customFormat="1" ht="409.5" customHeight="1"/>
    <row r="15" s="8" customFormat="1" ht="409.5" customHeight="1"/>
    <row r="16" s="8" customFormat="1" ht="409.5" customHeight="1"/>
    <row r="17" s="8" customFormat="1" ht="409.5" customHeight="1"/>
    <row r="18" s="8" customFormat="1" ht="409.5" customHeight="1"/>
    <row r="19" s="8" customFormat="1" ht="409.5" customHeight="1"/>
    <row r="20" s="8" customFormat="1" ht="409.5" customHeight="1"/>
    <row r="21" s="8" customFormat="1" ht="409.5" customHeight="1"/>
    <row r="22" s="8" customFormat="1" ht="409.5" customHeight="1"/>
    <row r="23" s="8" customFormat="1" ht="409.5" customHeight="1"/>
    <row r="24" s="8" customFormat="1" ht="409.5" customHeight="1"/>
    <row r="25" s="8" customFormat="1" ht="409.5" customHeight="1"/>
    <row r="26" s="8" customFormat="1" ht="409.5" customHeight="1"/>
    <row r="27" s="8" customFormat="1" ht="409.5" customHeight="1"/>
    <row r="28" s="8" customFormat="1" ht="409.5" customHeight="1"/>
    <row r="29" s="8" customFormat="1" ht="409.5" customHeight="1"/>
    <row r="30" s="8" customFormat="1" ht="409.5" customHeight="1"/>
    <row r="31" s="8" customFormat="1" ht="409.5" customHeight="1"/>
    <row r="32" s="8" customFormat="1" ht="409.5" customHeight="1"/>
    <row r="33" s="8" customFormat="1" ht="409.5" customHeight="1"/>
    <row r="34" s="8" customFormat="1" ht="409.5" customHeight="1"/>
    <row r="35" s="8" customFormat="1" ht="409.5" customHeight="1"/>
    <row r="36" s="8" customFormat="1" ht="409.5" customHeight="1"/>
    <row r="37" s="8" customFormat="1" ht="409.5" customHeight="1"/>
    <row r="38" s="8" customFormat="1" ht="409.5" customHeight="1"/>
    <row r="39" s="8" customFormat="1" ht="409.5" customHeight="1"/>
    <row r="40" s="8" customFormat="1" ht="409.5" customHeight="1"/>
    <row r="41" s="8" customFormat="1" ht="409.5" customHeight="1"/>
    <row r="42" s="8" customFormat="1" ht="409.5" customHeight="1"/>
    <row r="43" s="8" customFormat="1" ht="409.5" customHeight="1"/>
    <row r="44" s="8" customFormat="1" ht="409.5" customHeight="1"/>
    <row r="45" s="8" customFormat="1" ht="409.5" customHeight="1"/>
    <row r="46" s="8" customFormat="1" ht="409.5" customHeight="1"/>
    <row r="47" s="8" customFormat="1" ht="409.5" customHeight="1"/>
    <row r="48" s="8" customFormat="1" ht="409.5" customHeight="1"/>
    <row r="49" s="8" customFormat="1" ht="409.5" customHeight="1"/>
    <row r="50" s="8" customFormat="1" ht="409.5" customHeight="1"/>
    <row r="51" s="8" customFormat="1" ht="409.5" customHeight="1"/>
    <row r="52" s="8" customFormat="1" ht="409.5" customHeight="1"/>
    <row r="53" s="8" customFormat="1" ht="409.5" customHeight="1"/>
    <row r="54" s="8" customFormat="1" ht="409.5" customHeight="1"/>
    <row r="55" s="8" customFormat="1" ht="409.5" customHeight="1"/>
    <row r="56" s="8" customFormat="1" ht="409.5" customHeight="1"/>
    <row r="57" s="8" customFormat="1" ht="409.5" customHeight="1"/>
    <row r="58" s="8" customFormat="1" ht="409.5" customHeight="1"/>
    <row r="59" s="8" customFormat="1" ht="409.5" customHeight="1"/>
    <row r="60" s="8" customFormat="1" ht="409.5" customHeight="1"/>
    <row r="61" s="8" customFormat="1" ht="409.5" customHeight="1"/>
    <row r="62" s="8" customFormat="1" ht="409.5" customHeight="1"/>
    <row r="63" s="8" customFormat="1" ht="409.5" customHeight="1"/>
    <row r="64" s="8" customFormat="1" ht="409.5" customHeight="1"/>
    <row r="65" s="8" customFormat="1" ht="409.5" customHeight="1"/>
    <row r="66" s="8" customFormat="1" ht="409.5" customHeight="1"/>
    <row r="67" s="8" customFormat="1" ht="409.5" customHeight="1"/>
    <row r="68" s="8" customFormat="1" ht="409.5" customHeight="1"/>
    <row r="69" s="8" customFormat="1" ht="409.5" customHeight="1"/>
    <row r="70" s="8" customFormat="1" ht="409.5" customHeight="1"/>
    <row r="71" s="8" customFormat="1" ht="409.5" customHeight="1"/>
    <row r="72" s="8" customFormat="1" ht="409.5" customHeight="1"/>
    <row r="73" s="8" customFormat="1" ht="409.5" customHeight="1"/>
    <row r="74" s="8" customFormat="1" ht="409.5" customHeight="1"/>
    <row r="75" s="8" customFormat="1" ht="409.5" customHeight="1"/>
    <row r="76" s="8" customFormat="1" ht="409.5" customHeight="1"/>
    <row r="77" s="8" customFormat="1" ht="409.5" customHeight="1"/>
    <row r="78" s="8" customFormat="1" ht="409.5" customHeight="1"/>
    <row r="79" s="8" customFormat="1" ht="409.5" customHeight="1"/>
    <row r="80" s="8" customFormat="1" ht="409.5" customHeight="1"/>
    <row r="81" s="8" customFormat="1" ht="409.5" customHeight="1"/>
    <row r="82" s="8" customFormat="1" ht="409.5" customHeight="1"/>
    <row r="83" s="8" customFormat="1" ht="409.5" customHeight="1"/>
    <row r="84" s="8" customFormat="1" ht="409.5" customHeight="1"/>
    <row r="85" s="8" customFormat="1" ht="409.5" customHeight="1"/>
    <row r="86" s="8" customFormat="1" ht="409.5" customHeight="1"/>
    <row r="87" s="8" customFormat="1" ht="409.5" customHeight="1"/>
    <row r="88" s="8" customFormat="1" ht="409.5" customHeight="1"/>
    <row r="89" s="8" customFormat="1" ht="409.5" customHeight="1"/>
    <row r="90" s="8" customFormat="1" ht="409.5" customHeight="1"/>
    <row r="91" s="8" customFormat="1" ht="409.5" customHeight="1"/>
    <row r="92" s="8" customFormat="1" ht="409.5" customHeight="1"/>
    <row r="93" s="8" customFormat="1" ht="409.5" customHeight="1"/>
    <row r="94" s="8" customFormat="1" ht="409.5" customHeight="1"/>
    <row r="95" s="8" customFormat="1" ht="409.5" customHeight="1"/>
    <row r="96" s="8" customFormat="1" ht="409.5" customHeight="1"/>
    <row r="97" s="8" customFormat="1" ht="409.5" customHeight="1"/>
    <row r="98" s="8" customFormat="1" ht="409.5" customHeight="1"/>
    <row r="99" s="8" customFormat="1" ht="409.5" customHeight="1"/>
    <row r="100" s="8" customFormat="1" ht="409.5" customHeight="1"/>
    <row r="101" s="8" customFormat="1" ht="409.5" customHeight="1"/>
    <row r="102" s="8" customFormat="1" ht="409.5" customHeight="1"/>
    <row r="103" s="8" customFormat="1" ht="409.5" customHeight="1"/>
    <row r="104" s="8" customFormat="1" ht="409.5" customHeight="1"/>
    <row r="105" s="8" customFormat="1" ht="409.5" customHeight="1"/>
    <row r="106" s="8" customFormat="1" ht="409.5" customHeight="1"/>
    <row r="107" s="8" customFormat="1" ht="409.5" customHeight="1"/>
    <row r="108" s="8" customFormat="1" ht="409.5" customHeight="1"/>
    <row r="109" s="8" customFormat="1" ht="409.5" customHeight="1"/>
    <row r="110" s="8" customFormat="1" ht="409.5" customHeight="1"/>
    <row r="111" s="8" customFormat="1" ht="409.5" customHeight="1"/>
    <row r="112" s="8" customFormat="1" ht="409.5" customHeight="1"/>
    <row r="113" s="8" customFormat="1" ht="409.5" customHeight="1"/>
    <row r="114" s="8" customFormat="1" ht="409.5" customHeight="1"/>
    <row r="115" s="8" customFormat="1" ht="409.5" customHeight="1"/>
    <row r="116" s="8" customFormat="1" ht="409.5" customHeight="1"/>
    <row r="117" s="8" customFormat="1" ht="409.5" customHeight="1"/>
    <row r="118" s="8" customFormat="1" ht="409.5" customHeight="1"/>
    <row r="119" s="8" customFormat="1" ht="409.5" customHeight="1"/>
    <row r="120" s="8" customFormat="1" ht="409.5" customHeight="1"/>
    <row r="121" s="8" customFormat="1" ht="409.5" customHeight="1"/>
    <row r="122" s="8" customFormat="1" ht="409.5" customHeight="1"/>
    <row r="123" s="8" customFormat="1" ht="409.5" customHeight="1"/>
    <row r="124" s="8" customFormat="1" ht="409.5" customHeight="1"/>
    <row r="125" s="8" customFormat="1" ht="409.5" customHeight="1"/>
    <row r="126" s="8" customFormat="1" ht="409.5" customHeight="1"/>
    <row r="127" s="8" customFormat="1" ht="409.5" customHeight="1"/>
    <row r="128" s="8" customFormat="1" ht="409.5" customHeight="1"/>
    <row r="129" s="8" customFormat="1" ht="409.5" customHeight="1"/>
    <row r="130" s="8" customFormat="1" ht="409.5" customHeight="1"/>
    <row r="131" s="8" customFormat="1" ht="409.5" customHeight="1"/>
    <row r="132" s="8" customFormat="1" ht="409.5" customHeight="1"/>
    <row r="133" s="8" customFormat="1" ht="409.5" customHeight="1"/>
    <row r="134" s="8" customFormat="1" ht="409.5" customHeight="1"/>
    <row r="135" s="8" customFormat="1" ht="409.5" customHeight="1"/>
    <row r="136" s="8" customFormat="1" ht="409.5" customHeight="1"/>
    <row r="137" s="8" customFormat="1" ht="409.5" customHeight="1"/>
    <row r="138" s="8" customFormat="1" ht="409.5" customHeight="1"/>
    <row r="139" s="8" customFormat="1" ht="409.5" customHeight="1"/>
    <row r="140" s="8" customFormat="1" ht="409.5" customHeight="1"/>
    <row r="141" s="8" customFormat="1" ht="409.5" customHeight="1"/>
    <row r="142" s="8" customFormat="1" ht="409.5" customHeight="1"/>
    <row r="143" s="8" customFormat="1" ht="409.5" customHeight="1"/>
    <row r="144" s="8" customFormat="1" ht="409.5" customHeight="1"/>
    <row r="145" s="8" customFormat="1" ht="409.5" customHeight="1"/>
    <row r="146" s="8" customFormat="1" ht="409.5" customHeight="1"/>
    <row r="147" s="8" customFormat="1" ht="409.5" customHeight="1"/>
    <row r="148" s="8" customFormat="1" ht="409.5" customHeight="1"/>
    <row r="149" s="8" customFormat="1" ht="409.5" customHeight="1"/>
    <row r="150" s="8" customFormat="1" ht="409.5" customHeight="1"/>
    <row r="151" s="8" customFormat="1" ht="409.5" customHeight="1"/>
    <row r="152" s="8" customFormat="1" ht="409.5" customHeight="1"/>
    <row r="153" s="8" customFormat="1" ht="409.5" customHeight="1"/>
    <row r="154" s="8" customFormat="1" ht="409.5" customHeight="1"/>
    <row r="155" s="8" customFormat="1" ht="409.5" customHeight="1"/>
    <row r="156" s="8" customFormat="1" ht="409.5" customHeight="1"/>
    <row r="157" s="8" customFormat="1" ht="409.5" customHeight="1"/>
    <row r="158" s="8" customFormat="1" ht="409.5" customHeight="1"/>
    <row r="159" s="8" customFormat="1" ht="409.5" customHeight="1"/>
    <row r="160" s="8" customFormat="1" ht="409.5" customHeight="1"/>
    <row r="161" s="8" customFormat="1" ht="409.5" customHeight="1"/>
    <row r="162" s="8" customFormat="1" ht="409.5" customHeight="1"/>
    <row r="163" s="8" customFormat="1" ht="409.5" customHeight="1"/>
    <row r="164" s="8" customFormat="1" ht="409.5" customHeight="1"/>
    <row r="165" s="8" customFormat="1" ht="409.5" customHeight="1"/>
    <row r="166" s="8" customFormat="1" ht="409.5" customHeight="1"/>
    <row r="167" s="8" customFormat="1" ht="409.5" customHeight="1"/>
    <row r="168" s="8" customFormat="1" ht="409.5" customHeight="1"/>
    <row r="169" s="8" customFormat="1" ht="409.5" customHeight="1"/>
    <row r="170" s="8" customFormat="1" ht="409.5" customHeight="1"/>
    <row r="171" s="8" customFormat="1" ht="409.5" customHeight="1"/>
    <row r="172" s="8" customFormat="1" ht="409.5" customHeight="1"/>
    <row r="173" s="8" customFormat="1" ht="409.5" customHeight="1"/>
    <row r="174" s="8" customFormat="1" ht="409.5" customHeight="1"/>
    <row r="175" s="8" customFormat="1" ht="409.5" customHeight="1"/>
    <row r="176" s="8" customFormat="1" ht="409.5" customHeight="1"/>
    <row r="177" s="8" customFormat="1" ht="409.5" customHeight="1"/>
    <row r="178" s="8" customFormat="1" ht="409.5" customHeight="1"/>
    <row r="179" s="8" customFormat="1" ht="409.5" customHeight="1"/>
    <row r="180" s="8" customFormat="1" ht="409.5" customHeight="1"/>
    <row r="181" s="8" customFormat="1" ht="409.5" customHeight="1"/>
    <row r="182" s="8" customFormat="1" ht="409.5" customHeight="1"/>
    <row r="183" s="8" customFormat="1" ht="409.5" customHeight="1"/>
    <row r="184" s="8" customFormat="1" ht="409.5" customHeight="1"/>
    <row r="185" s="8" customFormat="1" ht="409.5" customHeight="1"/>
    <row r="186" s="8" customFormat="1" ht="409.5" customHeight="1"/>
    <row r="187" s="8" customFormat="1" ht="409.5" customHeight="1"/>
    <row r="188" s="8" customFormat="1" ht="409.5" customHeight="1"/>
    <row r="189" s="8" customFormat="1" ht="409.5" customHeight="1"/>
    <row r="190" s="8" customFormat="1" ht="409.5" customHeight="1"/>
    <row r="191" s="8" customFormat="1" ht="409.5" customHeight="1"/>
    <row r="192" s="8" customFormat="1" ht="409.5" customHeight="1"/>
    <row r="193" s="8" customFormat="1" ht="409.5" customHeight="1"/>
    <row r="194" s="8" customFormat="1" ht="409.5" customHeight="1"/>
    <row r="195" s="8" customFormat="1" ht="409.5" customHeight="1"/>
    <row r="196" s="8" customFormat="1" ht="409.5" customHeight="1"/>
    <row r="197" s="8" customFormat="1" ht="409.5" customHeight="1"/>
    <row r="198" s="8" customFormat="1" ht="409.5" customHeight="1"/>
    <row r="199" s="8" customFormat="1" ht="409.5" customHeight="1"/>
    <row r="200" s="8" customFormat="1" ht="409.5" customHeight="1"/>
    <row r="201" s="8" customFormat="1" ht="409.5" customHeight="1"/>
    <row r="202" s="8" customFormat="1" ht="409.5" customHeight="1"/>
    <row r="203" s="8" customFormat="1" ht="409.5" customHeight="1"/>
    <row r="204" s="8" customFormat="1" ht="409.5" customHeight="1"/>
    <row r="205" s="8" customFormat="1" ht="409.5" customHeight="1"/>
    <row r="206" s="8" customFormat="1" ht="409.5" customHeight="1"/>
    <row r="207" s="8" customFormat="1" ht="409.5" customHeight="1"/>
    <row r="208" s="8" customFormat="1" ht="409.5" customHeight="1"/>
    <row r="209" s="8" customFormat="1" ht="409.5" customHeight="1"/>
    <row r="210" s="8" customFormat="1" ht="409.5" customHeight="1"/>
    <row r="211" s="8" customFormat="1" ht="409.5" customHeight="1"/>
    <row r="212" s="8" customFormat="1" ht="409.5" customHeight="1"/>
    <row r="213" s="8" customFormat="1" ht="409.5" customHeight="1"/>
    <row r="214" s="8" customFormat="1" ht="409.5" customHeight="1"/>
    <row r="215" s="8" customFormat="1" ht="409.5" customHeight="1"/>
    <row r="216" s="8" customFormat="1" ht="409.5" customHeight="1"/>
    <row r="217" s="8" customFormat="1" ht="409.5" customHeight="1"/>
    <row r="218" s="8" customFormat="1" ht="409.5" customHeight="1"/>
    <row r="219" s="8" customFormat="1" ht="409.5" customHeight="1"/>
    <row r="220" s="8" customFormat="1" ht="409.5" customHeight="1"/>
    <row r="221" s="8" customFormat="1" ht="409.5" customHeight="1"/>
    <row r="222" s="8" customFormat="1" ht="409.5" customHeight="1"/>
    <row r="223" s="8" customFormat="1" ht="409.5" customHeight="1"/>
    <row r="224" s="8" customFormat="1" ht="409.5" customHeight="1"/>
    <row r="225" s="8" customFormat="1" ht="409.5" customHeight="1"/>
    <row r="226" s="8" customFormat="1" ht="409.5" customHeight="1"/>
    <row r="227" s="8" customFormat="1" ht="409.5" customHeight="1"/>
    <row r="228" s="8" customFormat="1" ht="409.5" customHeight="1"/>
    <row r="229" s="8" customFormat="1" ht="409.5" customHeight="1"/>
    <row r="230" s="8" customFormat="1" ht="409.5" customHeight="1"/>
    <row r="231" s="8" customFormat="1" ht="409.5" customHeight="1"/>
    <row r="232" s="8" customFormat="1" ht="409.5" customHeight="1"/>
    <row r="233" s="8" customFormat="1" ht="409.5" customHeight="1"/>
    <row r="234" s="8" customFormat="1" ht="409.5" customHeight="1"/>
    <row r="235" s="8" customFormat="1" ht="409.5" customHeight="1"/>
    <row r="236" s="8" customFormat="1" ht="409.5" customHeight="1"/>
    <row r="237" s="8" customFormat="1" ht="409.5" customHeight="1"/>
    <row r="238" s="8" customFormat="1" ht="409.5" customHeight="1"/>
    <row r="239" s="8" customFormat="1" ht="409.5" customHeight="1"/>
    <row r="240" s="8" customFormat="1" ht="409.5" customHeight="1"/>
    <row r="241" s="8" customFormat="1" ht="409.5" customHeight="1"/>
    <row r="242" s="8" customFormat="1" ht="409.5" customHeight="1"/>
    <row r="243" s="8" customFormat="1" ht="409.5" customHeight="1"/>
    <row r="244" s="8" customFormat="1" ht="409.5" customHeight="1"/>
    <row r="245" s="8" customFormat="1" ht="409.5" customHeight="1"/>
    <row r="246" s="8" customFormat="1" ht="409.5" customHeight="1"/>
    <row r="247" s="8" customFormat="1" ht="409.5" customHeight="1"/>
    <row r="248" s="8" customFormat="1" ht="409.5" customHeight="1"/>
    <row r="249" s="8" customFormat="1" ht="409.5" customHeight="1"/>
    <row r="250" s="8" customFormat="1" ht="409.5" customHeight="1"/>
    <row r="251" s="8" customFormat="1" ht="409.5" customHeight="1"/>
    <row r="252" s="8" customFormat="1" ht="409.5" customHeight="1"/>
    <row r="253" s="8" customFormat="1" ht="409.5" customHeight="1"/>
    <row r="254" s="8" customFormat="1" ht="409.5" customHeight="1"/>
    <row r="255" s="8" customFormat="1" ht="409.5" customHeight="1"/>
    <row r="256" s="8" customFormat="1" ht="409.5" customHeight="1"/>
    <row r="257" s="8" customFormat="1" ht="409.5" customHeight="1"/>
    <row r="258" s="8" customFormat="1" ht="409.5" customHeight="1"/>
    <row r="259" s="8" customFormat="1" ht="409.5" customHeight="1"/>
    <row r="260" s="8" customFormat="1" ht="409.5" customHeight="1"/>
    <row r="261" s="8" customFormat="1" ht="409.5" customHeight="1"/>
    <row r="262" s="8" customFormat="1" ht="409.5" customHeight="1"/>
    <row r="263" s="8" customFormat="1" ht="409.5" customHeight="1"/>
    <row r="264" s="8" customFormat="1" ht="409.5" customHeight="1"/>
    <row r="265" s="8" customFormat="1" ht="409.5" customHeight="1"/>
    <row r="266" s="8" customFormat="1" ht="409.5" customHeight="1"/>
    <row r="267" s="8" customFormat="1" ht="409.5" customHeight="1"/>
    <row r="268" s="8" customFormat="1" ht="409.5" customHeight="1"/>
    <row r="269" s="8" customFormat="1" ht="409.5" customHeight="1"/>
    <row r="270" s="8" customFormat="1" ht="409.5" customHeight="1"/>
    <row r="271" s="8" customFormat="1" ht="409.5" customHeight="1"/>
    <row r="272" s="8" customFormat="1" ht="409.5" customHeight="1"/>
    <row r="273" s="8" customFormat="1" ht="409.5" customHeight="1"/>
    <row r="274" s="8" customFormat="1" ht="409.5" customHeight="1"/>
    <row r="275" s="8" customFormat="1" ht="409.5" customHeight="1"/>
    <row r="276" s="8" customFormat="1" ht="409.5" customHeight="1"/>
    <row r="277" s="8" customFormat="1" ht="409.5" customHeight="1"/>
    <row r="278" s="8" customFormat="1" ht="409.5" customHeight="1"/>
    <row r="279" s="8" customFormat="1" ht="409.5" customHeight="1"/>
    <row r="280" s="8" customFormat="1" ht="409.5" customHeight="1"/>
    <row r="281" s="8" customFormat="1" ht="409.5" customHeight="1"/>
    <row r="282" s="8" customFormat="1" ht="409.5" customHeight="1"/>
    <row r="283" s="8" customFormat="1" ht="409.5" customHeight="1"/>
    <row r="284" s="8" customFormat="1" ht="409.5" customHeight="1"/>
    <row r="285" s="8" customFormat="1" ht="409.5" customHeight="1"/>
    <row r="286" s="8" customFormat="1" ht="409.5" customHeight="1"/>
    <row r="287" s="8" customFormat="1" ht="409.5" customHeight="1"/>
    <row r="288" s="8" customFormat="1" ht="409.5" customHeight="1"/>
    <row r="289" s="8" customFormat="1" ht="409.5" customHeight="1"/>
    <row r="290" s="8" customFormat="1" ht="409.5" customHeight="1"/>
    <row r="291" s="8" customFormat="1" ht="409.5" customHeight="1"/>
    <row r="292" s="8" customFormat="1" ht="409.5" customHeight="1"/>
    <row r="293" s="8" customFormat="1" ht="409.5" customHeight="1"/>
    <row r="294" s="8" customFormat="1" ht="409.5" customHeight="1"/>
    <row r="295" s="8" customFormat="1" ht="409.5" customHeight="1"/>
    <row r="296" s="8" customFormat="1" ht="409.5" customHeight="1"/>
    <row r="297" s="8" customFormat="1" ht="409.5" customHeight="1"/>
    <row r="298" s="8" customFormat="1" ht="409.5" customHeight="1"/>
    <row r="299" s="8" customFormat="1" ht="409.5" customHeight="1"/>
    <row r="300" s="8" customFormat="1" ht="409.5" customHeight="1"/>
    <row r="301" s="8" customFormat="1" ht="409.5" customHeight="1"/>
    <row r="302" s="8" customFormat="1" ht="409.5" customHeight="1"/>
    <row r="303" s="8" customFormat="1" ht="409.5" customHeight="1"/>
    <row r="304" s="8" customFormat="1" ht="409.5" customHeight="1"/>
    <row r="305" s="8" customFormat="1" ht="409.5" customHeight="1"/>
    <row r="306" s="8" customFormat="1" ht="409.5" customHeight="1"/>
    <row r="307" s="8" customFormat="1" ht="409.5" customHeight="1"/>
    <row r="308" s="8" customFormat="1" ht="409.5" customHeight="1"/>
    <row r="309" s="8" customFormat="1" ht="409.5" customHeight="1"/>
    <row r="310" s="8" customFormat="1" ht="409.5" customHeight="1"/>
    <row r="311" s="8" customFormat="1" ht="409.5" customHeight="1"/>
    <row r="312" s="8" customFormat="1" ht="409.5" customHeight="1"/>
    <row r="313" s="8" customFormat="1" ht="409.5" customHeight="1"/>
    <row r="314" s="8" customFormat="1" ht="409.5" customHeight="1"/>
    <row r="315" s="8" customFormat="1" ht="409.5" customHeight="1"/>
    <row r="316" s="8" customFormat="1" ht="409.5" customHeight="1"/>
    <row r="317" s="8" customFormat="1" ht="409.5" customHeight="1"/>
    <row r="318" s="8" customFormat="1" ht="409.5" customHeight="1"/>
    <row r="319" s="8" customFormat="1" ht="409.5" customHeight="1"/>
    <row r="320" s="8" customFormat="1" ht="409.5" customHeight="1"/>
    <row r="321" s="8" customFormat="1" ht="409.5" customHeight="1"/>
    <row r="322" s="8" customFormat="1" ht="409.5" customHeight="1"/>
    <row r="323" s="8" customFormat="1" ht="409.5" customHeight="1"/>
    <row r="324" s="8" customFormat="1" ht="409.5" customHeight="1"/>
    <row r="325" s="8" customFormat="1" ht="409.5" customHeight="1"/>
    <row r="326" s="8" customFormat="1" ht="409.5" customHeight="1"/>
    <row r="327" s="8" customFormat="1" ht="409.5" customHeight="1"/>
    <row r="328" s="8" customFormat="1" ht="409.5" customHeight="1"/>
    <row r="329" s="8" customFormat="1" ht="409.5" customHeight="1"/>
    <row r="330" s="8" customFormat="1" ht="409.5" customHeight="1"/>
    <row r="331" s="8" customFormat="1" ht="409.5" customHeight="1"/>
    <row r="332" s="8" customFormat="1" ht="409.5" customHeight="1"/>
    <row r="333" s="8" customFormat="1" ht="409.5" customHeight="1"/>
    <row r="334" s="8" customFormat="1" ht="409.5" customHeight="1"/>
    <row r="335" s="8" customFormat="1" ht="409.5" customHeight="1"/>
    <row r="336" s="8" customFormat="1" ht="409.5" customHeight="1"/>
    <row r="337" s="8" customFormat="1" ht="409.5" customHeight="1"/>
    <row r="338" s="8" customFormat="1" ht="409.5" customHeight="1"/>
    <row r="339" s="8" customFormat="1" ht="409.5" customHeight="1"/>
    <row r="340" s="8" customFormat="1" ht="409.5" customHeight="1"/>
    <row r="341" s="8" customFormat="1" ht="409.5" customHeight="1"/>
    <row r="342" s="8" customFormat="1" ht="409.5" customHeight="1"/>
    <row r="343" s="8" customFormat="1" ht="409.5" customHeight="1"/>
    <row r="344" s="8" customFormat="1" ht="409.5" customHeight="1"/>
    <row r="345" s="8" customFormat="1" ht="409.5" customHeight="1"/>
    <row r="346" s="8" customFormat="1" ht="409.5" customHeight="1"/>
    <row r="347" s="8" customFormat="1" ht="409.5" customHeight="1"/>
    <row r="348" s="8" customFormat="1" ht="409.5" customHeight="1"/>
    <row r="349" s="8" customFormat="1" ht="409.5" customHeight="1"/>
    <row r="350" s="8" customFormat="1" ht="409.5" customHeight="1"/>
    <row r="351" s="8" customFormat="1" ht="409.5" customHeight="1"/>
    <row r="352" s="8" customFormat="1" ht="409.5" customHeight="1"/>
    <row r="353" s="8" customFormat="1" ht="409.5" customHeight="1"/>
    <row r="354" s="8" customFormat="1" ht="409.5" customHeight="1"/>
    <row r="355" s="8" customFormat="1" ht="409.5" customHeight="1"/>
    <row r="356" s="8" customFormat="1" ht="409.5" customHeight="1"/>
    <row r="357" s="8" customFormat="1" ht="409.5" customHeight="1"/>
    <row r="358" s="8" customFormat="1" ht="409.5" customHeight="1"/>
    <row r="359" s="8" customFormat="1" ht="409.5" customHeight="1"/>
    <row r="360" s="8" customFormat="1" ht="409.5" customHeight="1"/>
    <row r="361" s="8" customFormat="1" ht="409.5" customHeight="1"/>
    <row r="362" s="8" customFormat="1" ht="409.5" customHeight="1"/>
    <row r="363" s="8" customFormat="1" ht="409.5" customHeight="1"/>
    <row r="364" s="8" customFormat="1" ht="409.5" customHeight="1"/>
    <row r="365" s="8" customFormat="1" ht="409.5" customHeight="1"/>
    <row r="366" s="8" customFormat="1" ht="409.5" customHeight="1"/>
    <row r="367" s="8" customFormat="1" ht="409.5" customHeight="1"/>
    <row r="368" s="8" customFormat="1" ht="409.5" customHeight="1"/>
    <row r="369" s="8" customFormat="1" ht="409.5" customHeight="1"/>
    <row r="370" s="8" customFormat="1" ht="409.5" customHeight="1"/>
    <row r="371" s="8" customFormat="1" ht="409.5" customHeight="1"/>
    <row r="372" s="8" customFormat="1" ht="409.5" customHeight="1"/>
    <row r="373" s="8" customFormat="1" ht="409.5" customHeight="1"/>
    <row r="374" s="8" customFormat="1" ht="409.5" customHeight="1"/>
    <row r="375" s="8" customFormat="1" ht="409.5" customHeight="1"/>
    <row r="376" s="8" customFormat="1" ht="409.5" customHeight="1"/>
    <row r="377" s="8" customFormat="1" ht="409.5" customHeight="1"/>
    <row r="378" s="8" customFormat="1" ht="409.5" customHeight="1"/>
    <row r="379" s="8" customFormat="1" ht="409.5" customHeight="1"/>
    <row r="380" s="8" customFormat="1" ht="409.5" customHeight="1"/>
    <row r="381" s="8" customFormat="1" ht="409.5" customHeight="1"/>
    <row r="382" s="8" customFormat="1" ht="409.5" customHeight="1"/>
    <row r="383" s="8" customFormat="1" ht="409.5" customHeight="1"/>
    <row r="384" s="8" customFormat="1" ht="409.5" customHeight="1"/>
    <row r="385" s="8" customFormat="1" ht="409.5" customHeight="1"/>
    <row r="386" s="8" customFormat="1" ht="409.5" customHeight="1"/>
    <row r="387" s="8" customFormat="1" ht="409.5" customHeight="1"/>
    <row r="388" s="8" customFormat="1" ht="409.5" customHeight="1"/>
    <row r="389" s="8" customFormat="1" ht="409.5" customHeight="1"/>
    <row r="390" s="8" customFormat="1" ht="409.5" customHeight="1"/>
    <row r="391" s="8" customFormat="1" ht="409.5" customHeight="1"/>
    <row r="392" s="8" customFormat="1" ht="409.5" customHeight="1"/>
    <row r="393" s="8" customFormat="1" ht="409.5" customHeight="1"/>
    <row r="394" s="8" customFormat="1" ht="409.5" customHeight="1"/>
    <row r="395" s="8" customFormat="1" ht="409.5" customHeight="1"/>
    <row r="396" s="8" customFormat="1" ht="409.5" customHeight="1"/>
    <row r="397" s="8" customFormat="1" ht="409.5" customHeight="1"/>
    <row r="398" s="8" customFormat="1" ht="409.5" customHeight="1"/>
    <row r="399" s="8" customFormat="1" ht="409.5" customHeight="1"/>
    <row r="400" s="8" customFormat="1" ht="409.5" customHeight="1"/>
    <row r="401" s="8" customFormat="1" ht="409.5" customHeight="1"/>
    <row r="402" s="8" customFormat="1" ht="409.5" customHeight="1"/>
    <row r="403" s="8" customFormat="1" ht="409.5" customHeight="1"/>
    <row r="404" s="8" customFormat="1" ht="409.5" customHeight="1"/>
    <row r="405" s="8" customFormat="1" ht="409.5" customHeight="1"/>
    <row r="406" s="8" customFormat="1" ht="409.5" customHeight="1"/>
    <row r="407" s="8" customFormat="1" ht="409.5" customHeight="1"/>
    <row r="408" s="8" customFormat="1" ht="409.5" customHeight="1"/>
    <row r="409" s="8" customFormat="1" ht="409.5" customHeight="1"/>
    <row r="410" s="8" customFormat="1" ht="409.5" customHeight="1"/>
    <row r="411" s="8" customFormat="1" ht="409.5" customHeight="1"/>
    <row r="412" s="8" customFormat="1" ht="409.5" customHeight="1"/>
    <row r="413" s="8" customFormat="1" ht="409.5" customHeight="1"/>
    <row r="414" s="8" customFormat="1" ht="409.5" customHeight="1"/>
    <row r="415" s="8" customFormat="1" ht="409.5" customHeight="1"/>
    <row r="416" s="8" customFormat="1" ht="409.5" customHeight="1"/>
    <row r="417" s="8" customFormat="1" ht="409.5" customHeight="1"/>
    <row r="418" s="8" customFormat="1" ht="409.5" customHeight="1"/>
    <row r="419" s="8" customFormat="1" ht="409.5" customHeight="1"/>
    <row r="420" s="8" customFormat="1" ht="409.5" customHeight="1"/>
    <row r="421" s="8" customFormat="1" ht="409.5" customHeight="1"/>
    <row r="422" s="8" customFormat="1" ht="409.5" customHeight="1"/>
    <row r="423" s="8" customFormat="1" ht="409.5" customHeight="1"/>
    <row r="424" s="8" customFormat="1" ht="40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13"/>
  <sheetViews>
    <sheetView showGridLines="0" showZeros="0" zoomScalePageLayoutView="0" workbookViewId="0" topLeftCell="A1">
      <selection activeCell="E22" sqref="E22:E23"/>
    </sheetView>
  </sheetViews>
  <sheetFormatPr defaultColWidth="9.140625" defaultRowHeight="12.75"/>
  <cols>
    <col min="1" max="1" width="29.421875" style="51" customWidth="1"/>
    <col min="2" max="12" width="9.28125" style="51" customWidth="1"/>
    <col min="13" max="16384" width="8.7109375" style="51" customWidth="1"/>
  </cols>
  <sheetData>
    <row r="1" spans="1:12" ht="12.75">
      <c r="A1" s="43"/>
      <c r="B1" s="43"/>
      <c r="C1" s="71"/>
      <c r="D1" s="35"/>
      <c r="E1" s="35"/>
      <c r="F1" s="35"/>
      <c r="G1" s="35"/>
      <c r="H1" s="35"/>
      <c r="I1" s="35"/>
      <c r="J1" s="35"/>
      <c r="K1" s="407" t="s">
        <v>44</v>
      </c>
      <c r="L1" s="407" t="str">
        <f>+Pressupostos!E1</f>
        <v>JUPITER</v>
      </c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8" t="str">
        <f>+Pressupostos!B9</f>
        <v>Euros</v>
      </c>
    </row>
    <row r="3" spans="1:12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38"/>
    </row>
    <row r="4" spans="1:12" ht="15.75">
      <c r="A4" s="562" t="s">
        <v>220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10.5">
      <c r="A5" s="43"/>
      <c r="B5" s="116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0.5">
      <c r="A6" s="43"/>
      <c r="B6" s="175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0.5">
      <c r="A7" s="108"/>
      <c r="B7" s="40">
        <f>+VN!C8</f>
        <v>2021</v>
      </c>
      <c r="C7" s="40">
        <f>+VN!D8</f>
        <v>2022</v>
      </c>
      <c r="D7" s="40">
        <f>+VN!E8</f>
        <v>2023</v>
      </c>
      <c r="E7" s="40">
        <f>+VN!F8</f>
        <v>2024</v>
      </c>
      <c r="F7" s="40">
        <f>+VN!G8</f>
        <v>2025</v>
      </c>
      <c r="G7" s="40">
        <f>+VN!H8</f>
        <v>2026</v>
      </c>
      <c r="H7" s="40">
        <f>+VN!I8</f>
        <v>2027</v>
      </c>
      <c r="I7" s="40">
        <f>+VN!J8</f>
        <v>2028</v>
      </c>
      <c r="J7" s="40">
        <f>+VN!K8</f>
        <v>2029</v>
      </c>
      <c r="K7" s="40">
        <f>+VN!L8</f>
        <v>2030</v>
      </c>
      <c r="L7" s="40">
        <f>+VN!M8</f>
        <v>2031</v>
      </c>
    </row>
    <row r="8" spans="1:12" ht="10.5">
      <c r="A8" s="96" t="str">
        <f>'DR'!A8</f>
        <v>Vendas e Serviços Prestados</v>
      </c>
      <c r="B8" s="317">
        <f>'DR'!B8</f>
        <v>16213499.999999998</v>
      </c>
      <c r="C8" s="317">
        <f>'DR'!C8</f>
        <v>33608296</v>
      </c>
      <c r="D8" s="317">
        <f>'DR'!D8</f>
        <v>59468475.379999995</v>
      </c>
      <c r="E8" s="317">
        <f>'DR'!E8</f>
        <v>70093249.5</v>
      </c>
      <c r="F8" s="317">
        <f>'DR'!F8</f>
        <v>73674847</v>
      </c>
      <c r="G8" s="317">
        <f>'DR'!G8</f>
        <v>78041625.99999999</v>
      </c>
      <c r="H8" s="317">
        <f>'DR'!H8</f>
        <v>83440749.99999999</v>
      </c>
      <c r="I8" s="317">
        <f>'DR'!I8</f>
        <v>90048079.5</v>
      </c>
      <c r="J8" s="317">
        <f>'DR'!J8</f>
        <v>98073826.5</v>
      </c>
      <c r="K8" s="317">
        <f>'DR'!K8</f>
        <v>107854805.8</v>
      </c>
      <c r="L8" s="317">
        <f>'DR'!L8</f>
        <v>119550274</v>
      </c>
    </row>
    <row r="9" spans="1:12" ht="10.5">
      <c r="A9" s="108" t="str">
        <f>'DR'!A11</f>
        <v>Variação nos Inventários da Produção</v>
      </c>
      <c r="B9" s="317">
        <f>'DR'!B11</f>
        <v>0</v>
      </c>
      <c r="C9" s="317">
        <f>'DR'!C11</f>
        <v>0</v>
      </c>
      <c r="D9" s="317">
        <f>'DR'!D11</f>
        <v>0</v>
      </c>
      <c r="E9" s="317">
        <f>'DR'!E11</f>
        <v>0</v>
      </c>
      <c r="F9" s="317">
        <f>'DR'!F11</f>
        <v>0</v>
      </c>
      <c r="G9" s="317">
        <f>'DR'!G11</f>
        <v>0</v>
      </c>
      <c r="H9" s="317">
        <f>'DR'!H11</f>
        <v>0</v>
      </c>
      <c r="I9" s="317">
        <f>'DR'!I11</f>
        <v>0</v>
      </c>
      <c r="J9" s="317">
        <f>'DR'!J11</f>
        <v>0</v>
      </c>
      <c r="K9" s="317">
        <f>'DR'!K11</f>
        <v>0</v>
      </c>
      <c r="L9" s="317">
        <f>'DR'!L11</f>
        <v>0</v>
      </c>
    </row>
    <row r="10" spans="1:12" ht="10.5">
      <c r="A10" s="108" t="s">
        <v>15</v>
      </c>
      <c r="B10" s="317">
        <f>'DR'!B13</f>
        <v>2564039.399999999</v>
      </c>
      <c r="C10" s="317">
        <f>'DR'!C13</f>
        <v>5277728.793999998</v>
      </c>
      <c r="D10" s="317">
        <f>'DR'!D13</f>
        <v>9760324.731819997</v>
      </c>
      <c r="E10" s="317">
        <f>'DR'!E13</f>
        <v>11588269.815329997</v>
      </c>
      <c r="F10" s="317">
        <f>'DR'!F13</f>
        <v>12167491.705979995</v>
      </c>
      <c r="G10" s="317">
        <f>'DR'!G13</f>
        <v>12897340.765139995</v>
      </c>
      <c r="H10" s="317">
        <f>'DR'!H13</f>
        <v>13799924.698559996</v>
      </c>
      <c r="I10" s="317">
        <f>'DR'!I13</f>
        <v>14903836.139009997</v>
      </c>
      <c r="J10" s="317">
        <f>'DR'!J13</f>
        <v>16245036.954509996</v>
      </c>
      <c r="K10" s="317">
        <f>'DR'!K13</f>
        <v>17880408.516619995</v>
      </c>
      <c r="L10" s="317">
        <f>'DR'!L13</f>
        <v>19835033.598899994</v>
      </c>
    </row>
    <row r="11" spans="1:12" ht="10.5">
      <c r="A11" s="108" t="s">
        <v>218</v>
      </c>
      <c r="B11" s="317">
        <f>FSE!F47</f>
        <v>0</v>
      </c>
      <c r="C11" s="317">
        <f>FSE!G47</f>
        <v>0</v>
      </c>
      <c r="D11" s="317">
        <f>FSE!H47</f>
        <v>0</v>
      </c>
      <c r="E11" s="317">
        <f>FSE!I47</f>
        <v>0</v>
      </c>
      <c r="F11" s="317">
        <f>FSE!J47</f>
        <v>0</v>
      </c>
      <c r="G11" s="317">
        <f>FSE!K47</f>
        <v>0</v>
      </c>
      <c r="H11" s="317">
        <f>FSE!L47</f>
        <v>0</v>
      </c>
      <c r="I11" s="317">
        <f>FSE!M47</f>
        <v>0</v>
      </c>
      <c r="J11" s="317">
        <f>FSE!N47</f>
        <v>0</v>
      </c>
      <c r="K11" s="317">
        <f>FSE!O47</f>
        <v>0</v>
      </c>
      <c r="L11" s="317">
        <f>FSE!P47</f>
        <v>0</v>
      </c>
    </row>
    <row r="12" spans="1:12" ht="10.5">
      <c r="A12" s="315" t="s">
        <v>217</v>
      </c>
      <c r="B12" s="318">
        <f>B8+B9-B10-B11</f>
        <v>13649460.6</v>
      </c>
      <c r="C12" s="318">
        <f>C8+C9-C10-C11</f>
        <v>28330567.206</v>
      </c>
      <c r="D12" s="318">
        <f>D8+D9-D10-D11</f>
        <v>49708150.64818</v>
      </c>
      <c r="E12" s="318">
        <f aca="true" t="shared" si="0" ref="E12:L12">E8+E9-E10-E11</f>
        <v>58504979.68467</v>
      </c>
      <c r="F12" s="318">
        <f t="shared" si="0"/>
        <v>61507355.294020005</v>
      </c>
      <c r="G12" s="318">
        <f t="shared" si="0"/>
        <v>65144285.23485999</v>
      </c>
      <c r="H12" s="318">
        <f t="shared" si="0"/>
        <v>69640825.30143999</v>
      </c>
      <c r="I12" s="318">
        <f t="shared" si="0"/>
        <v>75144243.36099</v>
      </c>
      <c r="J12" s="318">
        <f t="shared" si="0"/>
        <v>81828789.54549</v>
      </c>
      <c r="K12" s="318">
        <f t="shared" si="0"/>
        <v>89974397.28338</v>
      </c>
      <c r="L12" s="318">
        <f t="shared" si="0"/>
        <v>99715240.40110001</v>
      </c>
    </row>
    <row r="13" spans="1:12" ht="10.5">
      <c r="A13" s="316" t="s">
        <v>219</v>
      </c>
      <c r="B13" s="359">
        <f>IF(B8&gt;0,(FSE!F45+'DR'!B15+'DR'!B24+'DR'!B25+'DR'!B18)/(B12/'Ponto Crítico'!B8),"")</f>
        <v>802836.330088934</v>
      </c>
      <c r="C13" s="359">
        <f>IF(C8&gt;0,(FSE!G45+'DR'!C15+'DR'!C24+'DR'!C25+'DR'!C18)/(C12/'Ponto Crítico'!C8),"")</f>
        <v>1723822.68682803</v>
      </c>
      <c r="D13" s="359">
        <f>IF(D8&gt;0,(FSE!H45+'DR'!D15+'DR'!D24+'DR'!D25+'DR'!D18)/(D12/'Ponto Crítico'!D8),"")</f>
        <v>2365638.522409384</v>
      </c>
      <c r="E13" s="359">
        <f>IF(E8&gt;0,(FSE!I45+'DR'!E15+'DR'!E24+'DR'!E25+'DR'!E18)/(E12/'Ponto Crítico'!E8),"")</f>
        <v>2369040.8336025937</v>
      </c>
      <c r="F13" s="359">
        <f>IF(F8&gt;0,(FSE!J45+'DR'!F15+'DR'!F24+'DR'!F25+'DR'!F18)/(F12/'Ponto Crítico'!F8),"")</f>
        <v>3656093.027268993</v>
      </c>
      <c r="G13" s="359">
        <f>IF(G8&gt;0,(FSE!K45+'DR'!G15+'DR'!G24+'DR'!G25+'DR'!G18)/(G12/'Ponto Crítico'!G8),"")</f>
        <v>5295774.079305783</v>
      </c>
      <c r="H13" s="359">
        <f>IF(H8&gt;0,(FSE!L45+'DR'!H15+'DR'!H24+'DR'!H25+'DR'!H18)/(H12/'Ponto Crítico'!H8),"")</f>
        <v>5295599.7294464</v>
      </c>
      <c r="I13" s="359">
        <f>IF(I8&gt;0,(FSE!M45+'DR'!I15+'DR'!I24+'DR'!I25+'DR'!I18)/(I12/'Ponto Crítico'!I8),"")</f>
        <v>4057741.582138</v>
      </c>
      <c r="J13" s="359">
        <f>IF(J8&gt;0,(FSE!N45+'DR'!J15+'DR'!J24+'DR'!J25+'DR'!J18)/(J12/'Ponto Crítico'!J8),"")</f>
        <v>3505545.2351161106</v>
      </c>
      <c r="K13" s="359">
        <f>IF(K8&gt;0,(FSE!O45+'DR'!K15+'DR'!K24+'DR'!K25+'DR'!K18)/(K12/'Ponto Crítico'!K8),"")</f>
        <v>3505170.6098100953</v>
      </c>
      <c r="L13" s="359">
        <f>IF(L8&gt;0,(FSE!P45+'DR'!L15+'DR'!L24+'DR'!L25+'DR'!L18)/(L12/'Ponto Crítico'!L8),"")</f>
        <v>2781098.0570912105</v>
      </c>
    </row>
  </sheetData>
  <sheetProtection password="8318" sheet="1"/>
  <mergeCells count="1">
    <mergeCell ref="A4:L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showGridLines="0" showZeros="0" zoomScalePageLayoutView="0" workbookViewId="0" topLeftCell="A7">
      <selection activeCell="W31" sqref="W31:W32"/>
    </sheetView>
  </sheetViews>
  <sheetFormatPr defaultColWidth="9.140625" defaultRowHeight="12.75"/>
  <cols>
    <col min="1" max="1" width="45.7109375" style="51" bestFit="1" customWidth="1"/>
    <col min="2" max="2" width="7.7109375" style="51" bestFit="1" customWidth="1"/>
    <col min="3" max="10" width="7.8515625" style="51" customWidth="1"/>
    <col min="11" max="11" width="7.7109375" style="51" bestFit="1" customWidth="1"/>
    <col min="12" max="12" width="8.00390625" style="51" customWidth="1"/>
    <col min="13" max="16384" width="8.7109375" style="51" customWidth="1"/>
  </cols>
  <sheetData>
    <row r="1" spans="1:12" ht="12.75">
      <c r="A1" s="43"/>
      <c r="B1" s="43"/>
      <c r="C1" s="71"/>
      <c r="D1" s="35"/>
      <c r="E1" s="35"/>
      <c r="F1" s="35"/>
      <c r="G1" s="35"/>
      <c r="H1" s="35"/>
      <c r="I1" s="35"/>
      <c r="J1" s="35"/>
      <c r="K1" s="424" t="s">
        <v>44</v>
      </c>
      <c r="L1" s="424" t="str">
        <f>+Pressupostos!E1</f>
        <v>JUPITER</v>
      </c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8" t="str">
        <f>+Pressupostos!B9</f>
        <v>Euros</v>
      </c>
    </row>
    <row r="3" spans="1:12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38"/>
    </row>
    <row r="4" spans="1:12" ht="15.75">
      <c r="A4" s="562" t="s">
        <v>38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10.5">
      <c r="A5" s="43"/>
      <c r="B5" s="116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0.5">
      <c r="A6" s="43"/>
      <c r="B6" s="175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0.5">
      <c r="A7" s="108"/>
      <c r="B7" s="40">
        <f>+VN!C8</f>
        <v>2021</v>
      </c>
      <c r="C7" s="40">
        <f>+VN!D8</f>
        <v>2022</v>
      </c>
      <c r="D7" s="40">
        <f>+VN!E8</f>
        <v>2023</v>
      </c>
      <c r="E7" s="40">
        <f>+VN!F8</f>
        <v>2024</v>
      </c>
      <c r="F7" s="40">
        <f>+VN!G8</f>
        <v>2025</v>
      </c>
      <c r="G7" s="40">
        <f>+VN!H8</f>
        <v>2026</v>
      </c>
      <c r="H7" s="40">
        <f>+VN!I8</f>
        <v>2027</v>
      </c>
      <c r="I7" s="40">
        <f>+VN!J8</f>
        <v>2028</v>
      </c>
      <c r="J7" s="40">
        <f>+VN!K8</f>
        <v>2029</v>
      </c>
      <c r="K7" s="40">
        <f>+VN!L8</f>
        <v>2030</v>
      </c>
      <c r="L7" s="40">
        <f>+VN!M8</f>
        <v>2031</v>
      </c>
    </row>
    <row r="8" spans="1:12" ht="10.5">
      <c r="A8" s="108" t="s">
        <v>310</v>
      </c>
      <c r="B8" s="176">
        <f>+VN!C80</f>
        <v>16213499.999999998</v>
      </c>
      <c r="C8" s="176">
        <f>+VN!D80</f>
        <v>33608296</v>
      </c>
      <c r="D8" s="176">
        <f>+VN!E80</f>
        <v>59468475.379999995</v>
      </c>
      <c r="E8" s="176">
        <f>+VN!F80</f>
        <v>70093249.5</v>
      </c>
      <c r="F8" s="176">
        <f>+VN!G80</f>
        <v>73674847</v>
      </c>
      <c r="G8" s="176">
        <f>+VN!H80</f>
        <v>78041625.99999999</v>
      </c>
      <c r="H8" s="176">
        <f>+VN!I80</f>
        <v>83440749.99999999</v>
      </c>
      <c r="I8" s="176">
        <f>+VN!J80</f>
        <v>90048079.5</v>
      </c>
      <c r="J8" s="176">
        <f>+VN!K80</f>
        <v>98073826.5</v>
      </c>
      <c r="K8" s="176">
        <f>+VN!L80</f>
        <v>107854805.8</v>
      </c>
      <c r="L8" s="176">
        <f>+VN!M80</f>
        <v>119550274</v>
      </c>
    </row>
    <row r="9" spans="1:12" ht="10.5">
      <c r="A9" s="108" t="s">
        <v>168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0.5">
      <c r="A10" s="86" t="s">
        <v>311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0.5">
      <c r="A11" s="108" t="s">
        <v>312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0.5">
      <c r="A12" s="108" t="s">
        <v>313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0.5">
      <c r="A13" s="108" t="s">
        <v>15</v>
      </c>
      <c r="B13" s="176">
        <f>+CMVMC!C16</f>
        <v>2564039.399999999</v>
      </c>
      <c r="C13" s="176">
        <f>+CMVMC!D16</f>
        <v>5277728.793999998</v>
      </c>
      <c r="D13" s="176">
        <f>+CMVMC!E16</f>
        <v>9760324.731819997</v>
      </c>
      <c r="E13" s="176">
        <f>+CMVMC!F16</f>
        <v>11588269.815329997</v>
      </c>
      <c r="F13" s="176">
        <f>+CMVMC!G16</f>
        <v>12167491.705979995</v>
      </c>
      <c r="G13" s="176">
        <f>+CMVMC!H16</f>
        <v>12897340.765139995</v>
      </c>
      <c r="H13" s="176">
        <f>+CMVMC!I16</f>
        <v>13799924.698559996</v>
      </c>
      <c r="I13" s="176">
        <f>+CMVMC!J16</f>
        <v>14903836.139009997</v>
      </c>
      <c r="J13" s="176">
        <f>+CMVMC!K16</f>
        <v>16245036.954509996</v>
      </c>
      <c r="K13" s="176">
        <f>+CMVMC!L16</f>
        <v>17880408.516619995</v>
      </c>
      <c r="L13" s="176">
        <f>+CMVMC!M16</f>
        <v>19835033.598899994</v>
      </c>
    </row>
    <row r="14" spans="1:12" ht="10.5">
      <c r="A14" s="108" t="s">
        <v>314</v>
      </c>
      <c r="B14" s="176">
        <f>+FSE!F43</f>
        <v>55500</v>
      </c>
      <c r="C14" s="176">
        <f>+FSE!G43</f>
        <v>111000</v>
      </c>
      <c r="D14" s="176">
        <f>+FSE!H43</f>
        <v>111000</v>
      </c>
      <c r="E14" s="176">
        <f>+FSE!I43</f>
        <v>111000</v>
      </c>
      <c r="F14" s="176">
        <f>+FSE!J43</f>
        <v>111000</v>
      </c>
      <c r="G14" s="176">
        <f>+FSE!K43</f>
        <v>111000</v>
      </c>
      <c r="H14" s="176">
        <f>+FSE!L43</f>
        <v>111000</v>
      </c>
      <c r="I14" s="176">
        <f>+FSE!M43</f>
        <v>111000</v>
      </c>
      <c r="J14" s="176">
        <f>+FSE!N43</f>
        <v>111000</v>
      </c>
      <c r="K14" s="176">
        <f>+FSE!O43</f>
        <v>111000</v>
      </c>
      <c r="L14" s="176">
        <f>+FSE!P43</f>
        <v>111000</v>
      </c>
    </row>
    <row r="15" spans="1:12" ht="10.5">
      <c r="A15" s="108" t="s">
        <v>161</v>
      </c>
      <c r="B15" s="176">
        <f>+'Gastos com Pessoal'!D94</f>
        <v>620373.985</v>
      </c>
      <c r="C15" s="176">
        <f>+'Gastos com Pessoal'!E94</f>
        <v>1342119.625</v>
      </c>
      <c r="D15" s="176">
        <f>+'Gastos com Pessoal'!F94</f>
        <v>1866375.665</v>
      </c>
      <c r="E15" s="176">
        <f>+'Gastos com Pessoal'!G94</f>
        <v>1866375.665</v>
      </c>
      <c r="F15" s="176">
        <f>+'Gastos com Pessoal'!H94</f>
        <v>1866375.665</v>
      </c>
      <c r="G15" s="176">
        <f>+'Gastos com Pessoal'!I94</f>
        <v>1866375.665</v>
      </c>
      <c r="H15" s="176">
        <f>+'Gastos com Pessoal'!J94</f>
        <v>1866375.665</v>
      </c>
      <c r="I15" s="176">
        <f>+'Gastos com Pessoal'!K94</f>
        <v>1866375.665</v>
      </c>
      <c r="J15" s="176">
        <f>+'Gastos com Pessoal'!L94</f>
        <v>1866375.665</v>
      </c>
      <c r="K15" s="176">
        <f>+'Gastos com Pessoal'!M94</f>
        <v>1866375.665</v>
      </c>
      <c r="L15" s="176">
        <f>+'Gastos com Pessoal'!N94</f>
        <v>1866375.665</v>
      </c>
    </row>
    <row r="16" spans="1:12" ht="10.5">
      <c r="A16" s="108" t="s">
        <v>315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0.5">
      <c r="A17" s="108" t="s">
        <v>316</v>
      </c>
      <c r="B17" s="176">
        <f>+VN!C87</f>
        <v>0</v>
      </c>
      <c r="C17" s="176">
        <f>+VN!D87</f>
        <v>0</v>
      </c>
      <c r="D17" s="176">
        <f>+VN!E87</f>
        <v>0</v>
      </c>
      <c r="E17" s="176">
        <f>+VN!F87</f>
        <v>0</v>
      </c>
      <c r="F17" s="176">
        <f>+VN!G87</f>
        <v>0</v>
      </c>
      <c r="G17" s="176">
        <f>+VN!H87</f>
        <v>0</v>
      </c>
      <c r="H17" s="176">
        <f>+VN!I87</f>
        <v>0</v>
      </c>
      <c r="I17" s="176">
        <f>+VN!J87</f>
        <v>0</v>
      </c>
      <c r="J17" s="176">
        <f>+VN!K87</f>
        <v>0</v>
      </c>
      <c r="K17" s="176">
        <f>+VN!L87</f>
        <v>0</v>
      </c>
      <c r="L17" s="176">
        <f>+VN!M87</f>
        <v>0</v>
      </c>
    </row>
    <row r="18" spans="1:12" ht="10.5">
      <c r="A18" s="108" t="s">
        <v>317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0.5">
      <c r="A19" s="108" t="s">
        <v>318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0.5">
      <c r="A20" s="108" t="s">
        <v>319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0.5">
      <c r="A21" s="108" t="s">
        <v>320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0.5">
      <c r="A22" s="108" t="s">
        <v>321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0.5" thickBot="1">
      <c r="A23" s="177" t="s">
        <v>322</v>
      </c>
      <c r="B23" s="25">
        <f>+B8+B9+B10+B11+B12-B13-B14-B15-B16-B17-B18-B19-B20+B21-B22</f>
        <v>12973586.615</v>
      </c>
      <c r="C23" s="25">
        <f>+C8+C9+C10+C11+C12-C13-C14-C15-C16-C17-C18-C19-C20+C21-C22</f>
        <v>26877447.581</v>
      </c>
      <c r="D23" s="25">
        <f aca="true" t="shared" si="0" ref="D23:L23">+D8+D9+D10+D11+D12-D13-D14-D15-D16-D17-D18-D19-D20+D21-D22</f>
        <v>47730774.98318</v>
      </c>
      <c r="E23" s="25">
        <f t="shared" si="0"/>
        <v>56527604.01967</v>
      </c>
      <c r="F23" s="25">
        <f t="shared" si="0"/>
        <v>59529979.629020005</v>
      </c>
      <c r="G23" s="25">
        <f t="shared" si="0"/>
        <v>63166909.56985999</v>
      </c>
      <c r="H23" s="25">
        <f t="shared" si="0"/>
        <v>67663449.63643998</v>
      </c>
      <c r="I23" s="25">
        <f t="shared" si="0"/>
        <v>73166867.69599</v>
      </c>
      <c r="J23" s="25">
        <f t="shared" si="0"/>
        <v>79851413.88048999</v>
      </c>
      <c r="K23" s="25">
        <f t="shared" si="0"/>
        <v>87997021.61838</v>
      </c>
      <c r="L23" s="25">
        <f t="shared" si="0"/>
        <v>97737864.7361</v>
      </c>
    </row>
    <row r="24" spans="1:12" ht="10.5" thickTop="1">
      <c r="A24" s="108" t="s">
        <v>323</v>
      </c>
      <c r="B24" s="176">
        <f>+Investimento!C168</f>
        <v>0</v>
      </c>
      <c r="C24" s="176">
        <f>+Investimento!D168</f>
        <v>0</v>
      </c>
      <c r="D24" s="176">
        <f>+Investimento!E168</f>
        <v>0</v>
      </c>
      <c r="E24" s="176">
        <f>+Investimento!F168</f>
        <v>0</v>
      </c>
      <c r="F24" s="176">
        <f>+Investimento!G168</f>
        <v>1074909.0966666667</v>
      </c>
      <c r="G24" s="176">
        <f>+Investimento!H168</f>
        <v>2443206.4633333334</v>
      </c>
      <c r="H24" s="176">
        <f>+Investimento!I168</f>
        <v>2442406.4633333334</v>
      </c>
      <c r="I24" s="176">
        <f>+Investimento!J168</f>
        <v>1408770.0766666667</v>
      </c>
      <c r="J24" s="176">
        <f>+Investimento!K168</f>
        <v>947507.8999999999</v>
      </c>
      <c r="K24" s="176">
        <f>+Investimento!L168</f>
        <v>946700</v>
      </c>
      <c r="L24" s="176">
        <f>+Investimento!M168</f>
        <v>342300</v>
      </c>
    </row>
    <row r="25" spans="1:12" ht="10.5">
      <c r="A25" s="108" t="s">
        <v>324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0.5" thickBot="1">
      <c r="A26" s="177" t="s">
        <v>169</v>
      </c>
      <c r="B26" s="25">
        <f>+B23-B24-B25</f>
        <v>12973586.615</v>
      </c>
      <c r="C26" s="25">
        <f>+C23-C24-C25</f>
        <v>26877447.581</v>
      </c>
      <c r="D26" s="25">
        <f aca="true" t="shared" si="1" ref="D26:L26">+D23-D24-D25</f>
        <v>47730774.98318</v>
      </c>
      <c r="E26" s="25">
        <f t="shared" si="1"/>
        <v>56527604.01967</v>
      </c>
      <c r="F26" s="25">
        <f t="shared" si="1"/>
        <v>58455070.53235334</v>
      </c>
      <c r="G26" s="25">
        <f t="shared" si="1"/>
        <v>60723703.10652666</v>
      </c>
      <c r="H26" s="25">
        <f t="shared" si="1"/>
        <v>65221043.17310665</v>
      </c>
      <c r="I26" s="25">
        <f t="shared" si="1"/>
        <v>71758097.61932333</v>
      </c>
      <c r="J26" s="25">
        <f t="shared" si="1"/>
        <v>78903905.98048998</v>
      </c>
      <c r="K26" s="25">
        <f t="shared" si="1"/>
        <v>87050321.61838</v>
      </c>
      <c r="L26" s="25">
        <f t="shared" si="1"/>
        <v>97395564.7361</v>
      </c>
    </row>
    <row r="27" spans="1:12" ht="10.5" thickTop="1">
      <c r="A27" s="108" t="s">
        <v>325</v>
      </c>
      <c r="B27" s="176">
        <f>+IF(PlanoFinanceiro!C29&gt;0,PlanoFinanceiro!C29*Pressupostos!$B$31,0)</f>
        <v>0</v>
      </c>
      <c r="C27" s="176">
        <f>+IF(PlanoFinanceiro!D29&gt;0,PlanoFinanceiro!D29*Pressupostos!$B$31,0)</f>
        <v>0</v>
      </c>
      <c r="D27" s="176">
        <f>+IF(PlanoFinanceiro!E29&gt;0,PlanoFinanceiro!E29*Pressupostos!$B$31,0)</f>
        <v>0</v>
      </c>
      <c r="E27" s="176">
        <f>+IF(PlanoFinanceiro!F29&gt;0,PlanoFinanceiro!F29*Pressupostos!$B$31,0)</f>
        <v>0</v>
      </c>
      <c r="F27" s="176">
        <f>+IF(PlanoFinanceiro!G29&gt;0,PlanoFinanceiro!G29*Pressupostos!$B$31,0)</f>
        <v>0</v>
      </c>
      <c r="G27" s="176">
        <f>+IF(PlanoFinanceiro!H29&gt;0,PlanoFinanceiro!H29*Pressupostos!$B$31,0)</f>
        <v>0</v>
      </c>
      <c r="H27" s="176">
        <f>+IF(PlanoFinanceiro!I29&gt;0,PlanoFinanceiro!I29*Pressupostos!$B$31,0)</f>
        <v>0</v>
      </c>
      <c r="I27" s="176">
        <f>+IF(PlanoFinanceiro!J29&gt;0,PlanoFinanceiro!J29*Pressupostos!$B$31,0)</f>
        <v>0</v>
      </c>
      <c r="J27" s="176">
        <f>+IF(PlanoFinanceiro!K29&gt;0,PlanoFinanceiro!K29*Pressupostos!$B$31,0)</f>
        <v>0</v>
      </c>
      <c r="K27" s="176">
        <f>+IF(PlanoFinanceiro!L29&gt;0,PlanoFinanceiro!L29*Pressupostos!$B$31,0)</f>
        <v>0</v>
      </c>
      <c r="L27" s="176">
        <f>+IF(PlanoFinanceiro!M29&gt;0,PlanoFinanceiro!M29*Pressupostos!$B$31,0)</f>
        <v>0</v>
      </c>
    </row>
    <row r="28" spans="1:12" ht="10.5">
      <c r="A28" s="108" t="s">
        <v>326</v>
      </c>
      <c r="B28" s="176">
        <f>Financiamento!C103+IF(PlanoFinanceiro!C29&lt;0,-PlanoFinanceiro!C29*Pressupostos!$B$32,0)</f>
        <v>240960</v>
      </c>
      <c r="C28" s="176">
        <f>Financiamento!D103+IF(PlanoFinanceiro!D29&lt;0,-PlanoFinanceiro!D29*Pressupostos!$B$32,0)</f>
        <v>481920</v>
      </c>
      <c r="D28" s="176">
        <f>Financiamento!E103+IF(PlanoFinanceiro!E29&lt;0,-PlanoFinanceiro!E29*Pressupostos!$B$32,0)</f>
        <v>481920</v>
      </c>
      <c r="E28" s="176">
        <f>Financiamento!F103+IF(PlanoFinanceiro!F29&lt;0,-PlanoFinanceiro!F29*Pressupostos!$B$32,0)</f>
        <v>481920</v>
      </c>
      <c r="F28" s="176">
        <f>Financiamento!G103+IF(PlanoFinanceiro!G29&lt;0,-PlanoFinanceiro!G29*Pressupostos!$B$32,0)</f>
        <v>321280</v>
      </c>
      <c r="G28" s="176">
        <f>Financiamento!H103+IF(PlanoFinanceiro!H29&lt;0,-PlanoFinanceiro!H29*Pressupostos!$B$32,0)</f>
        <v>160640.00000000003</v>
      </c>
      <c r="H28" s="176">
        <f>Financiamento!I103+IF(PlanoFinanceiro!I29&lt;0,-PlanoFinanceiro!I29*Pressupostos!$B$32,0)</f>
        <v>0</v>
      </c>
      <c r="I28" s="176" t="e">
        <f>Financiamento!J103+IF(PlanoFinanceiro!J29&lt;0,-PlanoFinanceiro!J29*Pressupostos!$B$32,0)</f>
        <v>#DIV/0!</v>
      </c>
      <c r="J28" s="176" t="e">
        <f>Financiamento!K103+IF(PlanoFinanceiro!K29&lt;0,-PlanoFinanceiro!K29*Pressupostos!$B$32,0)</f>
        <v>#DIV/0!</v>
      </c>
      <c r="K28" s="176" t="e">
        <f>Financiamento!L103+IF(PlanoFinanceiro!L29&lt;0,-PlanoFinanceiro!L29*Pressupostos!$B$32,0)</f>
        <v>#DIV/0!</v>
      </c>
      <c r="L28" s="176" t="e">
        <f>Financiamento!M103+IF(PlanoFinanceiro!M29&lt;0,-PlanoFinanceiro!M29*Pressupostos!$B$32,0)</f>
        <v>#DIV/0!</v>
      </c>
    </row>
    <row r="29" spans="1:12" ht="10.5" thickBot="1">
      <c r="A29" s="177" t="s">
        <v>170</v>
      </c>
      <c r="B29" s="25">
        <f>+B26+B27-B28</f>
        <v>12732626.615</v>
      </c>
      <c r="C29" s="25">
        <f>+C26+C27-C28</f>
        <v>26395527.581</v>
      </c>
      <c r="D29" s="25">
        <f aca="true" t="shared" si="2" ref="D29:L29">+D26+D27-D28</f>
        <v>47248854.98318</v>
      </c>
      <c r="E29" s="25">
        <f t="shared" si="2"/>
        <v>56045684.01967</v>
      </c>
      <c r="F29" s="25">
        <f t="shared" si="2"/>
        <v>58133790.53235334</v>
      </c>
      <c r="G29" s="25">
        <f t="shared" si="2"/>
        <v>60563063.10652666</v>
      </c>
      <c r="H29" s="25">
        <f t="shared" si="2"/>
        <v>65221043.17310665</v>
      </c>
      <c r="I29" s="25" t="e">
        <f t="shared" si="2"/>
        <v>#DIV/0!</v>
      </c>
      <c r="J29" s="25" t="e">
        <f t="shared" si="2"/>
        <v>#DIV/0!</v>
      </c>
      <c r="K29" s="25" t="e">
        <f t="shared" si="2"/>
        <v>#DIV/0!</v>
      </c>
      <c r="L29" s="25" t="e">
        <f t="shared" si="2"/>
        <v>#DIV/0!</v>
      </c>
    </row>
    <row r="30" spans="1:12" ht="10.5" thickTop="1">
      <c r="A30" s="108" t="s">
        <v>327</v>
      </c>
      <c r="B30" s="176">
        <f>IF(B29&gt;0,B29*Pressupostos!$B$29,0)</f>
        <v>2673851.58915</v>
      </c>
      <c r="C30" s="176">
        <f>IF(C29+C32&lt;0,0,(C29+C32)*Pressupostos!$B$29)</f>
        <v>5543060.79201</v>
      </c>
      <c r="D30" s="176">
        <f>IF(D29+D32&lt;0,0,(D29+D32)*Pressupostos!$B$29)</f>
        <v>9922259.5464678</v>
      </c>
      <c r="E30" s="176">
        <f>IF(E29+E32&lt;0,0,(E29+E32)*Pressupostos!$B$29)</f>
        <v>11769593.6441307</v>
      </c>
      <c r="F30" s="176">
        <f>IF(F29+F32&lt;0,0,(F29+F32)*Pressupostos!$B$29)</f>
        <v>12208096.011794202</v>
      </c>
      <c r="G30" s="176">
        <f>IF(G29+G32&lt;0,0,(G29+G32)*Pressupostos!$B$29)</f>
        <v>12718243.252370598</v>
      </c>
      <c r="H30" s="176">
        <f>IF(H29+H32&lt;0,0,(H29+H32)*Pressupostos!$B$29)</f>
        <v>13696419.066352395</v>
      </c>
      <c r="I30" s="176" t="e">
        <f>IF(I29+I32&lt;0,0,(I29+I32)*Pressupostos!$B$29)</f>
        <v>#DIV/0!</v>
      </c>
      <c r="J30" s="176" t="e">
        <f>IF(J29+J32&lt;0,0,(J29+J32)*Pressupostos!$B$29)</f>
        <v>#DIV/0!</v>
      </c>
      <c r="K30" s="176" t="e">
        <f>IF(K29+K32&lt;0,0,(K29+K32)*Pressupostos!$B$29)</f>
        <v>#DIV/0!</v>
      </c>
      <c r="L30" s="176" t="e">
        <f>IF(L29+L32&lt;0,0,(L29+L32)*Pressupostos!$B$29)</f>
        <v>#DIV/0!</v>
      </c>
    </row>
    <row r="31" spans="1:12" ht="10.5" thickBot="1">
      <c r="A31" s="177" t="s">
        <v>167</v>
      </c>
      <c r="B31" s="25">
        <f>+B29-B30</f>
        <v>10058775.02585</v>
      </c>
      <c r="C31" s="25">
        <f>+C29-C30</f>
        <v>20852466.78899</v>
      </c>
      <c r="D31" s="25">
        <f aca="true" t="shared" si="3" ref="D31:L31">+D29-D30</f>
        <v>37326595.436712205</v>
      </c>
      <c r="E31" s="25">
        <f t="shared" si="3"/>
        <v>44276090.3755393</v>
      </c>
      <c r="F31" s="25">
        <f t="shared" si="3"/>
        <v>45925694.52055914</v>
      </c>
      <c r="G31" s="25">
        <f t="shared" si="3"/>
        <v>47844819.85415606</v>
      </c>
      <c r="H31" s="25">
        <f t="shared" si="3"/>
        <v>51524624.10675425</v>
      </c>
      <c r="I31" s="25" t="e">
        <f t="shared" si="3"/>
        <v>#DIV/0!</v>
      </c>
      <c r="J31" s="25" t="e">
        <f t="shared" si="3"/>
        <v>#DIV/0!</v>
      </c>
      <c r="K31" s="25" t="e">
        <f t="shared" si="3"/>
        <v>#DIV/0!</v>
      </c>
      <c r="L31" s="25" t="e">
        <f t="shared" si="3"/>
        <v>#DIV/0!</v>
      </c>
    </row>
    <row r="32" spans="1:12" ht="10.5" thickTop="1">
      <c r="A32" s="111"/>
      <c r="B32" s="178"/>
      <c r="C32" s="178">
        <f>IF(B31&lt;0,B31,0)</f>
        <v>0</v>
      </c>
      <c r="D32" s="178">
        <f>IF(C31+C32&lt;0,C31+C32,0)</f>
        <v>0</v>
      </c>
      <c r="E32" s="178">
        <f aca="true" t="shared" si="4" ref="E32:K32">IF(D31+D32&lt;0,D31+D32,0)</f>
        <v>0</v>
      </c>
      <c r="F32" s="178">
        <f t="shared" si="4"/>
        <v>0</v>
      </c>
      <c r="G32" s="178">
        <f t="shared" si="4"/>
        <v>0</v>
      </c>
      <c r="H32" s="178">
        <f t="shared" si="4"/>
        <v>0</v>
      </c>
      <c r="I32" s="178">
        <f t="shared" si="4"/>
        <v>0</v>
      </c>
      <c r="J32" s="178" t="e">
        <f t="shared" si="4"/>
        <v>#DIV/0!</v>
      </c>
      <c r="K32" s="178" t="e">
        <f t="shared" si="4"/>
        <v>#DIV/0!</v>
      </c>
      <c r="L32" s="178" t="e">
        <f>IF(K31+K32&lt;0,K31+K32,0)</f>
        <v>#DIV/0!</v>
      </c>
    </row>
  </sheetData>
  <sheetProtection password="8318" sheet="1"/>
  <mergeCells count="1">
    <mergeCell ref="A4:L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N39"/>
  <sheetViews>
    <sheetView showGridLines="0" showZeros="0" zoomScalePageLayoutView="0" workbookViewId="0" topLeftCell="A1">
      <selection activeCell="Q25" sqref="Q25"/>
    </sheetView>
  </sheetViews>
  <sheetFormatPr defaultColWidth="9.140625" defaultRowHeight="12.75"/>
  <cols>
    <col min="1" max="1" width="25.28125" style="180" bestFit="1" customWidth="1"/>
    <col min="2" max="2" width="5.00390625" style="180" customWidth="1"/>
    <col min="3" max="13" width="8.8515625" style="180" customWidth="1"/>
    <col min="14" max="18" width="11.421875" style="180" customWidth="1"/>
    <col min="19" max="16384" width="8.7109375" style="180" customWidth="1"/>
  </cols>
  <sheetData>
    <row r="1" spans="1:13" ht="12.75">
      <c r="A1" s="179"/>
      <c r="B1" s="179"/>
      <c r="C1" s="115"/>
      <c r="D1" s="115"/>
      <c r="E1" s="115"/>
      <c r="F1" s="115"/>
      <c r="G1" s="115"/>
      <c r="H1" s="115"/>
      <c r="I1" s="115"/>
      <c r="J1" s="115"/>
      <c r="K1" s="115"/>
      <c r="L1" s="421" t="s">
        <v>44</v>
      </c>
      <c r="M1" s="425" t="str">
        <f>+Pressupostos!E1</f>
        <v>JUPITER</v>
      </c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tr">
        <f>+Pressupostos!B9</f>
        <v>Euros</v>
      </c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8"/>
    </row>
    <row r="4" spans="1:13" ht="13.5" customHeight="1">
      <c r="A4" s="562" t="s">
        <v>40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2.75" customHeight="1">
      <c r="A5" s="43"/>
      <c r="B5" s="116"/>
      <c r="C5" s="116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0.5">
      <c r="A6" s="43"/>
      <c r="B6" s="107"/>
      <c r="C6" s="116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>
      <c r="A7" s="108"/>
      <c r="B7" s="101"/>
      <c r="C7" s="40">
        <f>+VN!C8</f>
        <v>2021</v>
      </c>
      <c r="D7" s="40">
        <f>+VN!D8</f>
        <v>2022</v>
      </c>
      <c r="E7" s="40">
        <f>+VN!E8</f>
        <v>2023</v>
      </c>
      <c r="F7" s="40">
        <f>+VN!F8</f>
        <v>2024</v>
      </c>
      <c r="G7" s="40">
        <f>+VN!G8</f>
        <v>2025</v>
      </c>
      <c r="H7" s="40">
        <f>+VN!H8</f>
        <v>2026</v>
      </c>
      <c r="I7" s="40">
        <f>+VN!I8</f>
        <v>2027</v>
      </c>
      <c r="J7" s="40">
        <f>+VN!J8</f>
        <v>2028</v>
      </c>
      <c r="K7" s="40">
        <f>+VN!K8</f>
        <v>2029</v>
      </c>
      <c r="L7" s="40">
        <f>+VN!L8</f>
        <v>2030</v>
      </c>
      <c r="M7" s="40">
        <f>+VN!M8</f>
        <v>2031</v>
      </c>
    </row>
    <row r="8" spans="1:13" ht="10.5">
      <c r="A8" s="52" t="s">
        <v>328</v>
      </c>
      <c r="B8" s="10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0.5">
      <c r="A9" s="181" t="s">
        <v>109</v>
      </c>
      <c r="B9" s="182"/>
      <c r="C9" s="84">
        <f>+'DR'!B26*(1-Pressupostos!$B$29)</f>
        <v>10249133.42585</v>
      </c>
      <c r="D9" s="84">
        <f>+'DR'!C26*(1-Pressupostos!$B$29)</f>
        <v>21233183.588990003</v>
      </c>
      <c r="E9" s="84">
        <f>+'DR'!D26*(1-Pressupostos!$B$29)</f>
        <v>37707312.2367122</v>
      </c>
      <c r="F9" s="84">
        <f>+'DR'!E26*(1-Pressupostos!$B$29)</f>
        <v>44656807.17553931</v>
      </c>
      <c r="G9" s="84">
        <f>+'DR'!F26*(1-Pressupostos!$B$29)</f>
        <v>46179505.72055914</v>
      </c>
      <c r="H9" s="84">
        <f>+'DR'!G26*(1-Pressupostos!$B$29)</f>
        <v>47971725.45415606</v>
      </c>
      <c r="I9" s="84">
        <f>+'DR'!H26*(1-Pressupostos!$B$29)</f>
        <v>51524624.10675425</v>
      </c>
      <c r="J9" s="84">
        <f>+'DR'!I26*(1-Pressupostos!$B$29)</f>
        <v>56688897.11926543</v>
      </c>
      <c r="K9" s="84">
        <f>+'DR'!J26*(1-Pressupostos!$B$29)</f>
        <v>62334085.72458709</v>
      </c>
      <c r="L9" s="84">
        <f>+'DR'!K26*(1-Pressupostos!$B$29)</f>
        <v>68769754.0785202</v>
      </c>
      <c r="M9" s="84">
        <f>+'DR'!L26*(1-Pressupostos!$B$29)</f>
        <v>76942496.14151901</v>
      </c>
    </row>
    <row r="10" spans="1:13" ht="10.5">
      <c r="A10" s="44" t="s">
        <v>329</v>
      </c>
      <c r="B10" s="182"/>
      <c r="C10" s="84">
        <f>+'DR'!B24</f>
        <v>0</v>
      </c>
      <c r="D10" s="84">
        <f>+'DR'!C24</f>
        <v>0</v>
      </c>
      <c r="E10" s="84">
        <f>+'DR'!D24</f>
        <v>0</v>
      </c>
      <c r="F10" s="84">
        <f>+'DR'!E24</f>
        <v>0</v>
      </c>
      <c r="G10" s="84">
        <f>+'DR'!F24</f>
        <v>1074909.0966666667</v>
      </c>
      <c r="H10" s="84">
        <f>+'DR'!G24</f>
        <v>2443206.4633333334</v>
      </c>
      <c r="I10" s="84">
        <f>+'DR'!H24</f>
        <v>2442406.4633333334</v>
      </c>
      <c r="J10" s="84">
        <f>+'DR'!I24</f>
        <v>1408770.0766666667</v>
      </c>
      <c r="K10" s="84">
        <f>+'DR'!J24</f>
        <v>947507.8999999999</v>
      </c>
      <c r="L10" s="84">
        <f>+'DR'!K24</f>
        <v>946700</v>
      </c>
      <c r="M10" s="84">
        <f>+'DR'!L24</f>
        <v>342300</v>
      </c>
    </row>
    <row r="11" spans="1:13" ht="10.5">
      <c r="A11" s="44" t="s">
        <v>330</v>
      </c>
      <c r="B11" s="182"/>
      <c r="C11" s="84">
        <f>+'DR'!B25</f>
        <v>0</v>
      </c>
      <c r="D11" s="84">
        <f>+'DR'!C25</f>
        <v>0</v>
      </c>
      <c r="E11" s="84">
        <f>+'DR'!D25</f>
        <v>0</v>
      </c>
      <c r="F11" s="84">
        <f>+'DR'!E25</f>
        <v>0</v>
      </c>
      <c r="G11" s="84">
        <f>+'DR'!F25</f>
        <v>0</v>
      </c>
      <c r="H11" s="84">
        <f>+'DR'!G25</f>
        <v>0</v>
      </c>
      <c r="I11" s="84">
        <f>+'DR'!H25</f>
        <v>0</v>
      </c>
      <c r="J11" s="84">
        <f>+'DR'!I25</f>
        <v>0</v>
      </c>
      <c r="K11" s="84">
        <f>+'DR'!J25</f>
        <v>0</v>
      </c>
      <c r="L11" s="84">
        <f>+'DR'!K25</f>
        <v>0</v>
      </c>
      <c r="M11" s="84">
        <f>+'DR'!L25</f>
        <v>0</v>
      </c>
    </row>
    <row r="12" spans="1:13" ht="10.5" thickBot="1">
      <c r="A12" s="44"/>
      <c r="B12" s="97"/>
      <c r="C12" s="124">
        <f>SUM(C9:C11)</f>
        <v>10249133.42585</v>
      </c>
      <c r="D12" s="124">
        <f>SUM(D9:D11)</f>
        <v>21233183.588990003</v>
      </c>
      <c r="E12" s="124">
        <f aca="true" t="shared" si="0" ref="E12:M12">SUM(E9:E11)</f>
        <v>37707312.2367122</v>
      </c>
      <c r="F12" s="124">
        <f t="shared" si="0"/>
        <v>44656807.17553931</v>
      </c>
      <c r="G12" s="124">
        <f t="shared" si="0"/>
        <v>47254414.81722581</v>
      </c>
      <c r="H12" s="124">
        <f t="shared" si="0"/>
        <v>50414931.917489395</v>
      </c>
      <c r="I12" s="124">
        <f t="shared" si="0"/>
        <v>53967030.57008758</v>
      </c>
      <c r="J12" s="124">
        <f t="shared" si="0"/>
        <v>58097667.1959321</v>
      </c>
      <c r="K12" s="124">
        <f t="shared" si="0"/>
        <v>63281593.62458709</v>
      </c>
      <c r="L12" s="124">
        <f t="shared" si="0"/>
        <v>69716454.0785202</v>
      </c>
      <c r="M12" s="124">
        <f t="shared" si="0"/>
        <v>77284796.14151901</v>
      </c>
    </row>
    <row r="13" spans="1:13" ht="10.5" thickTop="1">
      <c r="A13" s="52" t="s">
        <v>110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10.5">
      <c r="A14" s="181" t="s">
        <v>65</v>
      </c>
      <c r="B14" s="185"/>
      <c r="C14" s="84">
        <f>-FundoManeio!C24</f>
        <v>-1241522.0304999996</v>
      </c>
      <c r="D14" s="84">
        <f>-FundoManeio!D24</f>
        <v>-1261608.9815233338</v>
      </c>
      <c r="E14" s="84">
        <f>-FundoManeio!E24</f>
        <v>-1953654.0778356995</v>
      </c>
      <c r="F14" s="84">
        <f>-FundoManeio!F24</f>
        <v>-790830.9501854833</v>
      </c>
      <c r="G14" s="84">
        <f>-FundoManeio!G24</f>
        <v>-274057.911419251</v>
      </c>
      <c r="H14" s="84">
        <f>-FundoManeio!H24</f>
        <v>-584662.7803048659</v>
      </c>
      <c r="I14" s="84">
        <f>-FundoManeio!I24</f>
        <v>-157536.06164923217</v>
      </c>
      <c r="J14" s="84">
        <f>-FundoManeio!J24</f>
        <v>-494064.6521069193</v>
      </c>
      <c r="K14" s="84">
        <f>-FundoManeio!K24</f>
        <v>-607756.8641641662</v>
      </c>
      <c r="L14" s="84">
        <f>-FundoManeio!L24</f>
        <v>-733051.9718189491</v>
      </c>
      <c r="M14" s="84">
        <f>-FundoManeio!M24</f>
        <v>-1226127.820649268</v>
      </c>
    </row>
    <row r="15" spans="1:13" ht="9.7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13" ht="10.5" thickBot="1">
      <c r="A16" s="128" t="s">
        <v>68</v>
      </c>
      <c r="B16" s="187"/>
      <c r="C16" s="124">
        <f>+SUM(C12:C14)</f>
        <v>9007611.39535</v>
      </c>
      <c r="D16" s="124">
        <f>+SUM(D12:D14)</f>
        <v>19971574.607466668</v>
      </c>
      <c r="E16" s="124">
        <f aca="true" t="shared" si="1" ref="E16:M16">+SUM(E12:E14)</f>
        <v>35753658.1588765</v>
      </c>
      <c r="F16" s="124">
        <f t="shared" si="1"/>
        <v>43865976.22535382</v>
      </c>
      <c r="G16" s="124">
        <f t="shared" si="1"/>
        <v>46980356.90580656</v>
      </c>
      <c r="H16" s="124">
        <f t="shared" si="1"/>
        <v>49830269.13718453</v>
      </c>
      <c r="I16" s="124">
        <f t="shared" si="1"/>
        <v>53809494.50843835</v>
      </c>
      <c r="J16" s="124">
        <f t="shared" si="1"/>
        <v>57603602.54382518</v>
      </c>
      <c r="K16" s="124">
        <f t="shared" si="1"/>
        <v>62673836.76042292</v>
      </c>
      <c r="L16" s="124">
        <f t="shared" si="1"/>
        <v>68983402.10670124</v>
      </c>
      <c r="M16" s="124">
        <f t="shared" si="1"/>
        <v>76058668.32086974</v>
      </c>
    </row>
    <row r="17" spans="1:13" ht="10.5" thickTop="1">
      <c r="A17" s="188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0.5">
      <c r="A18" s="52" t="s">
        <v>111</v>
      </c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0.5">
      <c r="A19" s="44" t="s">
        <v>66</v>
      </c>
      <c r="B19" s="182"/>
      <c r="C19" s="84">
        <f>-Investimento!C29</f>
        <v>-2715000</v>
      </c>
      <c r="D19" s="84">
        <f>-Investimento!D29</f>
        <v>-3445000</v>
      </c>
      <c r="E19" s="84">
        <f>-Investimento!E29</f>
        <v>-4446280</v>
      </c>
      <c r="F19" s="84">
        <f>-Investimento!F29</f>
        <v>-2455000</v>
      </c>
      <c r="G19" s="84">
        <f>-Investimento!G29</f>
        <v>-3516000</v>
      </c>
      <c r="H19" s="84">
        <f>-Investimento!H29</f>
        <v>-8790000</v>
      </c>
      <c r="I19" s="84">
        <f>-Investimento!I29</f>
        <v>-4757000</v>
      </c>
      <c r="J19" s="84">
        <f>-Investimento!J29</f>
        <v>-3460000</v>
      </c>
      <c r="K19" s="84">
        <f>-Investimento!K29</f>
        <v>-7284900</v>
      </c>
      <c r="L19" s="84">
        <f>-Investimento!L29</f>
        <v>-5530000</v>
      </c>
      <c r="M19" s="84">
        <f>-Investimento!M29</f>
        <v>-12325000</v>
      </c>
    </row>
    <row r="20" spans="1:13" ht="10.5">
      <c r="A20" s="116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10.5" thickBot="1">
      <c r="A21" s="128" t="s">
        <v>331</v>
      </c>
      <c r="B21" s="187"/>
      <c r="C21" s="124">
        <f>+C12+C14+C19</f>
        <v>6292611.39535</v>
      </c>
      <c r="D21" s="124">
        <f>+D12+D14+D19</f>
        <v>16526574.607466668</v>
      </c>
      <c r="E21" s="124">
        <f aca="true" t="shared" si="2" ref="E21:M21">+E12+E14+E19</f>
        <v>31307378.1588765</v>
      </c>
      <c r="F21" s="124">
        <f t="shared" si="2"/>
        <v>41410976.22535382</v>
      </c>
      <c r="G21" s="124">
        <f t="shared" si="2"/>
        <v>43464356.90580656</v>
      </c>
      <c r="H21" s="124">
        <f t="shared" si="2"/>
        <v>41040269.13718453</v>
      </c>
      <c r="I21" s="124">
        <f t="shared" si="2"/>
        <v>49052494.50843835</v>
      </c>
      <c r="J21" s="124">
        <f t="shared" si="2"/>
        <v>54143602.54382518</v>
      </c>
      <c r="K21" s="124">
        <f t="shared" si="2"/>
        <v>55388936.76042292</v>
      </c>
      <c r="L21" s="124">
        <f t="shared" si="2"/>
        <v>63453402.10670124</v>
      </c>
      <c r="M21" s="124">
        <f t="shared" si="2"/>
        <v>63733668.320869744</v>
      </c>
    </row>
    <row r="22" spans="1:13" ht="10.5" thickTop="1">
      <c r="A22" s="188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10.5" thickBot="1">
      <c r="A23" s="128" t="s">
        <v>332</v>
      </c>
      <c r="B23" s="187"/>
      <c r="C23" s="124">
        <f>+SUM(C21)</f>
        <v>6292611.39535</v>
      </c>
      <c r="D23" s="124">
        <f>+SUM($C$21:D21)</f>
        <v>22819186.00281667</v>
      </c>
      <c r="E23" s="124">
        <f>+SUM($C$21:E21)</f>
        <v>54126564.16169317</v>
      </c>
      <c r="F23" s="124">
        <f>+SUM($C$21:F21)</f>
        <v>95537540.387047</v>
      </c>
      <c r="G23" s="124">
        <f>+SUM($C$21:G21)</f>
        <v>139001897.29285353</v>
      </c>
      <c r="H23" s="124">
        <f>+SUM($C$21:H21)</f>
        <v>180042166.43003806</v>
      </c>
      <c r="I23" s="124">
        <f>+SUM($C$21:I21)</f>
        <v>229094660.9384764</v>
      </c>
      <c r="J23" s="124">
        <f>+SUM($C$21:J21)</f>
        <v>283238263.4823016</v>
      </c>
      <c r="K23" s="124">
        <f>+SUM($C$21:K21)</f>
        <v>338627200.24272454</v>
      </c>
      <c r="L23" s="124">
        <f>+SUM($C$21:L21)</f>
        <v>402080602.3494258</v>
      </c>
      <c r="M23" s="124">
        <f>+SUM($C$21:M21)</f>
        <v>465814270.67029554</v>
      </c>
    </row>
    <row r="24" spans="1:13" ht="10.5" thickTop="1">
      <c r="A24" s="58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4" ht="10.5">
      <c r="A25" s="193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6"/>
    </row>
    <row r="26" spans="1:13" ht="10.5">
      <c r="A26" s="197"/>
      <c r="B26" s="194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0.5">
      <c r="A27" s="197"/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0.5">
      <c r="A28" s="197"/>
      <c r="B28" s="194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0.5">
      <c r="A29" s="197"/>
      <c r="B29" s="194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0.5">
      <c r="A30" s="197"/>
      <c r="B30" s="194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0.5">
      <c r="A31" s="197"/>
      <c r="B31" s="194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0.5">
      <c r="A32" s="197"/>
      <c r="B32" s="194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0.5">
      <c r="A33" s="197"/>
      <c r="B33" s="194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0.5">
      <c r="A34" s="197"/>
      <c r="B34" s="19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ht="10.5">
      <c r="A35" s="197"/>
      <c r="B35" s="194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13" ht="10.5">
      <c r="A36" s="193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0.5">
      <c r="A37" s="198"/>
      <c r="B37" s="194"/>
      <c r="C37" s="199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0.5">
      <c r="A38" s="51"/>
      <c r="B38" s="51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3:13" ht="9.7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</sheetData>
  <sheetProtection password="8318" sheet="1"/>
  <mergeCells count="1">
    <mergeCell ref="A4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M35"/>
  <sheetViews>
    <sheetView showGridLines="0" showZeros="0" zoomScalePageLayoutView="0" workbookViewId="0" topLeftCell="A11">
      <selection activeCell="G35" sqref="G35"/>
    </sheetView>
  </sheetViews>
  <sheetFormatPr defaultColWidth="9.140625" defaultRowHeight="12.75"/>
  <cols>
    <col min="1" max="1" width="30.57421875" style="51" customWidth="1"/>
    <col min="2" max="2" width="3.140625" style="51" customWidth="1"/>
    <col min="3" max="13" width="8.28125" style="51" customWidth="1"/>
    <col min="14" max="16384" width="8.7109375" style="51" customWidth="1"/>
  </cols>
  <sheetData>
    <row r="1" spans="1:13" ht="12.75">
      <c r="A1" s="43"/>
      <c r="B1" s="43"/>
      <c r="C1" s="35"/>
      <c r="D1" s="35"/>
      <c r="E1" s="35"/>
      <c r="F1" s="35"/>
      <c r="G1" s="35"/>
      <c r="H1" s="35"/>
      <c r="I1" s="35"/>
      <c r="J1" s="35"/>
      <c r="K1" s="35"/>
      <c r="L1" s="397" t="s">
        <v>44</v>
      </c>
      <c r="M1" s="407" t="str">
        <f>+Pressupostos!E1</f>
        <v>JUPITER</v>
      </c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tr">
        <f>+Pressupostos!B9</f>
        <v>Euros</v>
      </c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8"/>
    </row>
    <row r="4" spans="1:13" ht="15.75">
      <c r="A4" s="562" t="s">
        <v>113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0.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0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>
      <c r="A7" s="41"/>
      <c r="B7" s="60"/>
      <c r="C7" s="40">
        <f>+VN!C8</f>
        <v>2021</v>
      </c>
      <c r="D7" s="40">
        <f>+VN!D8</f>
        <v>2022</v>
      </c>
      <c r="E7" s="40">
        <f>+VN!E8</f>
        <v>2023</v>
      </c>
      <c r="F7" s="40">
        <f>+VN!F8</f>
        <v>2024</v>
      </c>
      <c r="G7" s="40">
        <f>+VN!G8</f>
        <v>2025</v>
      </c>
      <c r="H7" s="40">
        <f>+VN!H8</f>
        <v>2026</v>
      </c>
      <c r="I7" s="40">
        <f>+VN!I8</f>
        <v>2027</v>
      </c>
      <c r="J7" s="40">
        <f>+VN!J8</f>
        <v>2028</v>
      </c>
      <c r="K7" s="40">
        <f>+VN!K8</f>
        <v>2029</v>
      </c>
      <c r="L7" s="40">
        <f>+VN!L8</f>
        <v>2030</v>
      </c>
      <c r="M7" s="40">
        <f>+VN!M8</f>
        <v>2031</v>
      </c>
    </row>
    <row r="8" spans="1:13" ht="10.5">
      <c r="A8" s="613" t="s">
        <v>79</v>
      </c>
      <c r="B8" s="61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0.5">
      <c r="A9" s="95" t="s">
        <v>70</v>
      </c>
      <c r="B9" s="76"/>
      <c r="C9" s="201">
        <f>+'DR'!B26+'DR'!B24+'DR'!B25+'DR'!B17</f>
        <v>12973586.615</v>
      </c>
      <c r="D9" s="201">
        <f>+'DR'!C26+'DR'!C24+'DR'!C25+'DR'!C17</f>
        <v>26877447.581</v>
      </c>
      <c r="E9" s="201">
        <f>+'DR'!D26+'DR'!D24+'DR'!D25+'DR'!D17</f>
        <v>47730774.98318</v>
      </c>
      <c r="F9" s="201">
        <f>+'DR'!E26+'DR'!E24+'DR'!E25+'DR'!E17</f>
        <v>56527604.01967</v>
      </c>
      <c r="G9" s="201">
        <f>+'DR'!F26+'DR'!F24+'DR'!F25+'DR'!F17</f>
        <v>59529979.629020005</v>
      </c>
      <c r="H9" s="201">
        <f>+'DR'!G26+'DR'!G24+'DR'!G25+'DR'!G17</f>
        <v>63166909.56985999</v>
      </c>
      <c r="I9" s="201">
        <f>+'DR'!H26+'DR'!H24+'DR'!H25+'DR'!H17</f>
        <v>67663449.63643998</v>
      </c>
      <c r="J9" s="201">
        <f>+'DR'!I26+'DR'!I24+'DR'!I25+'DR'!I17</f>
        <v>73166867.69599</v>
      </c>
      <c r="K9" s="201">
        <f>+'DR'!J26+'DR'!J24+'DR'!J25+'DR'!J17</f>
        <v>79851413.88048999</v>
      </c>
      <c r="L9" s="201">
        <f>+'DR'!K26+'DR'!K24+'DR'!K25+'DR'!K17</f>
        <v>87997021.61838</v>
      </c>
      <c r="M9" s="201">
        <f>+'DR'!L26+'DR'!L24+'DR'!L25+'DR'!L17</f>
        <v>97737864.7361</v>
      </c>
    </row>
    <row r="10" spans="1:13" ht="10.5">
      <c r="A10" s="95" t="s">
        <v>333</v>
      </c>
      <c r="B10" s="76"/>
      <c r="C10" s="201">
        <f>+Financiamento!C15</f>
        <v>120000</v>
      </c>
      <c r="D10" s="201">
        <f>+Financiamento!D15</f>
        <v>5880000</v>
      </c>
      <c r="E10" s="201">
        <f>+Financiamento!E15</f>
        <v>1000000</v>
      </c>
      <c r="F10" s="201">
        <f>+Financiamento!F15</f>
        <v>1000000</v>
      </c>
      <c r="G10" s="201">
        <f>+Financiamento!G15</f>
        <v>1000000</v>
      </c>
      <c r="H10" s="201">
        <f>+Financiamento!H15</f>
        <v>1000000</v>
      </c>
      <c r="I10" s="201">
        <f>+Financiamento!I15</f>
        <v>1000000</v>
      </c>
      <c r="J10" s="201">
        <f>+Financiamento!J15</f>
        <v>1000000</v>
      </c>
      <c r="K10" s="201">
        <f>+Financiamento!K15</f>
        <v>1000000</v>
      </c>
      <c r="L10" s="201">
        <f>+Financiamento!L15</f>
        <v>1000000</v>
      </c>
      <c r="M10" s="201">
        <f>+Financiamento!M15</f>
        <v>1000000</v>
      </c>
    </row>
    <row r="11" spans="1:13" ht="10.5">
      <c r="A11" s="95" t="s">
        <v>334</v>
      </c>
      <c r="B11" s="76"/>
      <c r="C11" s="201">
        <f>+Financiamento!C16+Financiamento!C17+Financiamento!C19</f>
        <v>0</v>
      </c>
      <c r="D11" s="201">
        <f>+Financiamento!D16+Financiamento!D17+Financiamento!D19</f>
        <v>0</v>
      </c>
      <c r="E11" s="201">
        <f>+Financiamento!E16+Financiamento!E17+Financiamento!E19</f>
        <v>0</v>
      </c>
      <c r="F11" s="201">
        <f>+Financiamento!F16+Financiamento!F17+Financiamento!F19</f>
        <v>0</v>
      </c>
      <c r="G11" s="201">
        <f>+Financiamento!G16+Financiamento!G17+Financiamento!G19</f>
        <v>0</v>
      </c>
      <c r="H11" s="201">
        <f>+Financiamento!H16+Financiamento!H17+Financiamento!H19</f>
        <v>0</v>
      </c>
      <c r="I11" s="201">
        <f>+Financiamento!I16+Financiamento!I17+Financiamento!I19</f>
        <v>0</v>
      </c>
      <c r="J11" s="201">
        <f>+Financiamento!J16+Financiamento!J17+Financiamento!J19</f>
        <v>0</v>
      </c>
      <c r="K11" s="201">
        <f>+Financiamento!K16+Financiamento!K17+Financiamento!K19</f>
        <v>0</v>
      </c>
      <c r="L11" s="201">
        <f>+Financiamento!L16+Financiamento!L17+Financiamento!L19</f>
        <v>0</v>
      </c>
      <c r="M11" s="201">
        <f>+Financiamento!M16+Financiamento!M17+Financiamento!M19</f>
        <v>0</v>
      </c>
    </row>
    <row r="12" spans="1:13" ht="10.5">
      <c r="A12" s="95" t="s">
        <v>116</v>
      </c>
      <c r="B12" s="76"/>
      <c r="C12" s="201">
        <f>+Financiamento!C18</f>
        <v>4000000</v>
      </c>
      <c r="D12" s="201">
        <f>+Financiamento!D18</f>
        <v>0</v>
      </c>
      <c r="E12" s="201">
        <f>+Financiamento!E18</f>
        <v>0</v>
      </c>
      <c r="F12" s="201">
        <f>+Financiamento!F18</f>
        <v>0</v>
      </c>
      <c r="G12" s="201">
        <f>+Financiamento!G18</f>
        <v>0</v>
      </c>
      <c r="H12" s="201">
        <f>+Financiamento!H18</f>
        <v>10000000</v>
      </c>
      <c r="I12" s="201">
        <f>+Financiamento!I18</f>
        <v>0</v>
      </c>
      <c r="J12" s="201">
        <f>+Financiamento!J18</f>
        <v>0</v>
      </c>
      <c r="K12" s="201">
        <f>+Financiamento!K18</f>
        <v>0</v>
      </c>
      <c r="L12" s="201">
        <f>+Financiamento!L18</f>
        <v>0</v>
      </c>
      <c r="M12" s="201">
        <f>+Financiamento!M18</f>
        <v>14000000</v>
      </c>
    </row>
    <row r="13" spans="1:13" ht="10.5">
      <c r="A13" s="95" t="s">
        <v>71</v>
      </c>
      <c r="B13" s="76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ht="10.5">
      <c r="A14" s="95" t="s">
        <v>72</v>
      </c>
      <c r="B14" s="76"/>
      <c r="C14" s="201">
        <f>+IF(FundoManeio!C24&lt;0,-FundoManeio!C24,0)</f>
        <v>0</v>
      </c>
      <c r="D14" s="201">
        <f>+IF(FundoManeio!D24&lt;0,-FundoManeio!D24,0)</f>
        <v>0</v>
      </c>
      <c r="E14" s="201">
        <f>+IF(FundoManeio!E24&lt;0,-FundoManeio!E24,0)</f>
        <v>0</v>
      </c>
      <c r="F14" s="201">
        <f>+IF(FundoManeio!F24&lt;0,-FundoManeio!F24,0)</f>
        <v>0</v>
      </c>
      <c r="G14" s="201">
        <f>+IF(FundoManeio!G24&lt;0,-FundoManeio!G24,0)</f>
        <v>0</v>
      </c>
      <c r="H14" s="201">
        <f>+IF(FundoManeio!H24&lt;0,-FundoManeio!H24,0)</f>
        <v>0</v>
      </c>
      <c r="I14" s="201">
        <f>+IF(FundoManeio!I24&lt;0,-FundoManeio!I24,0)</f>
        <v>0</v>
      </c>
      <c r="J14" s="201">
        <f>+IF(FundoManeio!J24&lt;0,-FundoManeio!J24,0)</f>
        <v>0</v>
      </c>
      <c r="K14" s="201">
        <f>+IF(FundoManeio!K24&lt;0,-FundoManeio!K24,0)</f>
        <v>0</v>
      </c>
      <c r="L14" s="201">
        <f>+IF(FundoManeio!L24&lt;0,-FundoManeio!L24,0)</f>
        <v>0</v>
      </c>
      <c r="M14" s="201">
        <f>+IF(FundoManeio!M24&lt;0,-FundoManeio!M24,0)</f>
        <v>0</v>
      </c>
    </row>
    <row r="15" spans="1:13" ht="10.5">
      <c r="A15" s="95" t="s">
        <v>31</v>
      </c>
      <c r="B15" s="76"/>
      <c r="C15" s="201">
        <f>+'DR'!B27</f>
        <v>0</v>
      </c>
      <c r="D15" s="201">
        <f>+'DR'!C27</f>
        <v>0</v>
      </c>
      <c r="E15" s="201">
        <f>+'DR'!D27</f>
        <v>0</v>
      </c>
      <c r="F15" s="201">
        <f>+'DR'!E27</f>
        <v>0</v>
      </c>
      <c r="G15" s="201">
        <f>+'DR'!F27</f>
        <v>0</v>
      </c>
      <c r="H15" s="201">
        <f>+'DR'!G27</f>
        <v>0</v>
      </c>
      <c r="I15" s="201">
        <f>+'DR'!H27</f>
        <v>0</v>
      </c>
      <c r="J15" s="201">
        <f>+'DR'!I27</f>
        <v>0</v>
      </c>
      <c r="K15" s="201">
        <f>+'DR'!J27</f>
        <v>0</v>
      </c>
      <c r="L15" s="201">
        <f>+'DR'!K27</f>
        <v>0</v>
      </c>
      <c r="M15" s="201">
        <f>+'DR'!L27</f>
        <v>0</v>
      </c>
    </row>
    <row r="16" spans="1:13" ht="10.5">
      <c r="A16" s="615"/>
      <c r="B16" s="616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</row>
    <row r="17" spans="1:13" ht="10.5">
      <c r="A17" s="611" t="s">
        <v>73</v>
      </c>
      <c r="B17" s="612"/>
      <c r="C17" s="202">
        <f>+SUM(C9:C16)</f>
        <v>17093586.615000002</v>
      </c>
      <c r="D17" s="202">
        <f>+SUM(D9:D16)</f>
        <v>32757447.581</v>
      </c>
      <c r="E17" s="202">
        <f>+SUM(E9:E16)</f>
        <v>48730774.98318</v>
      </c>
      <c r="F17" s="202">
        <f aca="true" t="shared" si="0" ref="F17:M17">+SUM(F9:F16)</f>
        <v>57527604.01967</v>
      </c>
      <c r="G17" s="202">
        <f t="shared" si="0"/>
        <v>60529979.629020005</v>
      </c>
      <c r="H17" s="202">
        <f t="shared" si="0"/>
        <v>74166909.56985998</v>
      </c>
      <c r="I17" s="202">
        <f t="shared" si="0"/>
        <v>68663449.63643998</v>
      </c>
      <c r="J17" s="202">
        <f t="shared" si="0"/>
        <v>74166867.69599</v>
      </c>
      <c r="K17" s="202">
        <f t="shared" si="0"/>
        <v>80851413.88048999</v>
      </c>
      <c r="L17" s="202">
        <f t="shared" si="0"/>
        <v>88997021.61838</v>
      </c>
      <c r="M17" s="202">
        <f t="shared" si="0"/>
        <v>112737864.7361</v>
      </c>
    </row>
    <row r="18" spans="1:13" ht="14.25" customHeight="1">
      <c r="A18" s="613" t="s">
        <v>80</v>
      </c>
      <c r="B18" s="614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</row>
    <row r="19" spans="1:13" ht="10.5">
      <c r="A19" s="95" t="s">
        <v>74</v>
      </c>
      <c r="B19" s="60"/>
      <c r="C19" s="201">
        <f>+Investimento!C29</f>
        <v>2715000</v>
      </c>
      <c r="D19" s="201">
        <f>+Investimento!D29</f>
        <v>3445000</v>
      </c>
      <c r="E19" s="201">
        <f>+Investimento!E29</f>
        <v>4446280</v>
      </c>
      <c r="F19" s="201">
        <f>+Investimento!F29</f>
        <v>2455000</v>
      </c>
      <c r="G19" s="201">
        <f>+Investimento!G29</f>
        <v>3516000</v>
      </c>
      <c r="H19" s="201">
        <f>+Investimento!H29</f>
        <v>8790000</v>
      </c>
      <c r="I19" s="201">
        <f>+Investimento!I29</f>
        <v>4757000</v>
      </c>
      <c r="J19" s="201">
        <f>+Investimento!J29</f>
        <v>3460000</v>
      </c>
      <c r="K19" s="201">
        <f>+Investimento!K29</f>
        <v>7284900</v>
      </c>
      <c r="L19" s="201">
        <f>+Investimento!L29</f>
        <v>5530000</v>
      </c>
      <c r="M19" s="201">
        <f>+Investimento!M29</f>
        <v>12325000</v>
      </c>
    </row>
    <row r="20" spans="1:13" ht="10.5">
      <c r="A20" s="95" t="s">
        <v>335</v>
      </c>
      <c r="B20" s="60"/>
      <c r="C20" s="201">
        <f>+IF(FundoManeio!C24&gt;0,FundoManeio!C24,0)</f>
        <v>1241522.0304999996</v>
      </c>
      <c r="D20" s="201">
        <f>+IF(FundoManeio!D24&gt;0,FundoManeio!D24,0)</f>
        <v>1261608.9815233338</v>
      </c>
      <c r="E20" s="201">
        <f>+IF(FundoManeio!E24&gt;0,FundoManeio!E24,0)</f>
        <v>1953654.0778356995</v>
      </c>
      <c r="F20" s="201">
        <f>+IF(FundoManeio!F24&gt;0,FundoManeio!F24,0)</f>
        <v>790830.9501854833</v>
      </c>
      <c r="G20" s="201">
        <f>+IF(FundoManeio!G24&gt;0,FundoManeio!G24,0)</f>
        <v>274057.911419251</v>
      </c>
      <c r="H20" s="201">
        <f>+IF(FundoManeio!H24&gt;0,FundoManeio!H24,0)</f>
        <v>584662.7803048659</v>
      </c>
      <c r="I20" s="201">
        <f>+IF(FundoManeio!I24&gt;0,FundoManeio!I24,0)</f>
        <v>157536.06164923217</v>
      </c>
      <c r="J20" s="201">
        <f>+IF(FundoManeio!J24&gt;0,FundoManeio!J24,0)</f>
        <v>494064.6521069193</v>
      </c>
      <c r="K20" s="201">
        <f>+IF(FundoManeio!K24&gt;0,FundoManeio!K24,0)</f>
        <v>607756.8641641662</v>
      </c>
      <c r="L20" s="201">
        <f>+IF(FundoManeio!L24&gt;0,FundoManeio!L24,0)</f>
        <v>733051.9718189491</v>
      </c>
      <c r="M20" s="201">
        <f>+IF(FundoManeio!M24&gt;0,FundoManeio!M24,0)</f>
        <v>1226127.820649268</v>
      </c>
    </row>
    <row r="21" spans="1:13" ht="10.5">
      <c r="A21" s="95" t="s">
        <v>114</v>
      </c>
      <c r="B21" s="60"/>
      <c r="C21" s="201"/>
      <c r="D21" s="201">
        <f>+'DR'!B30</f>
        <v>2673851.58915</v>
      </c>
      <c r="E21" s="201">
        <f>+'DR'!C30</f>
        <v>5543060.79201</v>
      </c>
      <c r="F21" s="201">
        <f>+'DR'!D30</f>
        <v>9922259.5464678</v>
      </c>
      <c r="G21" s="201">
        <f>+'DR'!E30</f>
        <v>11769593.6441307</v>
      </c>
      <c r="H21" s="201">
        <f>+'DR'!F30</f>
        <v>12208096.011794202</v>
      </c>
      <c r="I21" s="201">
        <f>+'DR'!G30</f>
        <v>12718243.252370598</v>
      </c>
      <c r="J21" s="201">
        <f>+'DR'!H30</f>
        <v>13696419.066352395</v>
      </c>
      <c r="K21" s="201" t="e">
        <f>+'DR'!I30</f>
        <v>#DIV/0!</v>
      </c>
      <c r="L21" s="201" t="e">
        <f>+'DR'!J30</f>
        <v>#DIV/0!</v>
      </c>
      <c r="M21" s="201" t="e">
        <f>+'DR'!K30</f>
        <v>#DIV/0!</v>
      </c>
    </row>
    <row r="22" spans="1:13" ht="10.5">
      <c r="A22" s="95" t="s">
        <v>115</v>
      </c>
      <c r="B22" s="60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</row>
    <row r="23" spans="1:13" ht="10.5">
      <c r="A23" s="95" t="s">
        <v>75</v>
      </c>
      <c r="B23" s="60"/>
      <c r="C23" s="201">
        <f>+Financiamento!C104</f>
        <v>0</v>
      </c>
      <c r="D23" s="201">
        <f>+Financiamento!D104</f>
        <v>0</v>
      </c>
      <c r="E23" s="201">
        <f>+Financiamento!E104</f>
        <v>0</v>
      </c>
      <c r="F23" s="201">
        <f>+Financiamento!F104</f>
        <v>1333333.3333333333</v>
      </c>
      <c r="G23" s="201">
        <f>+Financiamento!G104</f>
        <v>1333333.3333333333</v>
      </c>
      <c r="H23" s="201">
        <f>+Financiamento!H104</f>
        <v>1333333.3333333333</v>
      </c>
      <c r="I23" s="201" t="e">
        <f>+Financiamento!I104</f>
        <v>#DIV/0!</v>
      </c>
      <c r="J23" s="201" t="e">
        <f>+Financiamento!J104</f>
        <v>#DIV/0!</v>
      </c>
      <c r="K23" s="201" t="e">
        <f>+Financiamento!K104</f>
        <v>#DIV/0!</v>
      </c>
      <c r="L23" s="201" t="e">
        <f>+Financiamento!L104</f>
        <v>#DIV/0!</v>
      </c>
      <c r="M23" s="201" t="e">
        <f>+Financiamento!M104</f>
        <v>#DIV/0!</v>
      </c>
    </row>
    <row r="24" spans="1:13" ht="10.5">
      <c r="A24" s="95" t="s">
        <v>76</v>
      </c>
      <c r="B24" s="60"/>
      <c r="C24" s="201">
        <f>+'DR'!B28</f>
        <v>240960</v>
      </c>
      <c r="D24" s="201">
        <f>+'DR'!C28</f>
        <v>481920</v>
      </c>
      <c r="E24" s="201">
        <f>+'DR'!D28</f>
        <v>481920</v>
      </c>
      <c r="F24" s="201">
        <f>+'DR'!E28</f>
        <v>481920</v>
      </c>
      <c r="G24" s="201">
        <f>+'DR'!F28</f>
        <v>321280</v>
      </c>
      <c r="H24" s="201">
        <f>+'DR'!G28</f>
        <v>160640.00000000003</v>
      </c>
      <c r="I24" s="201">
        <f>+'DR'!H28</f>
        <v>0</v>
      </c>
      <c r="J24" s="201" t="e">
        <f>+'DR'!I28</f>
        <v>#DIV/0!</v>
      </c>
      <c r="K24" s="201" t="e">
        <f>+'DR'!J28</f>
        <v>#DIV/0!</v>
      </c>
      <c r="L24" s="201" t="e">
        <f>+'DR'!K28</f>
        <v>#DIV/0!</v>
      </c>
      <c r="M24" s="201" t="e">
        <f>+'DR'!L28</f>
        <v>#DIV/0!</v>
      </c>
    </row>
    <row r="25" spans="1:13" ht="10.5">
      <c r="A25" s="615"/>
      <c r="B25" s="616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</row>
    <row r="26" spans="1:13" ht="10.5">
      <c r="A26" s="611" t="s">
        <v>77</v>
      </c>
      <c r="B26" s="612"/>
      <c r="C26" s="202">
        <f>+SUM(C19:C25)</f>
        <v>4197482.030499999</v>
      </c>
      <c r="D26" s="202">
        <f>+SUM(D19:D25)</f>
        <v>7862380.5706733335</v>
      </c>
      <c r="E26" s="202">
        <f>+SUM(E19:E25)</f>
        <v>12424914.8698457</v>
      </c>
      <c r="F26" s="202">
        <f aca="true" t="shared" si="1" ref="F26:M26">+SUM(F19:F25)</f>
        <v>14983343.829986617</v>
      </c>
      <c r="G26" s="202">
        <f t="shared" si="1"/>
        <v>17214264.88888328</v>
      </c>
      <c r="H26" s="202">
        <f t="shared" si="1"/>
        <v>23076732.1254324</v>
      </c>
      <c r="I26" s="202" t="e">
        <f t="shared" si="1"/>
        <v>#DIV/0!</v>
      </c>
      <c r="J26" s="202" t="e">
        <f t="shared" si="1"/>
        <v>#DIV/0!</v>
      </c>
      <c r="K26" s="202" t="e">
        <f t="shared" si="1"/>
        <v>#DIV/0!</v>
      </c>
      <c r="L26" s="202" t="e">
        <f t="shared" si="1"/>
        <v>#DIV/0!</v>
      </c>
      <c r="M26" s="202" t="e">
        <f t="shared" si="1"/>
        <v>#DIV/0!</v>
      </c>
    </row>
    <row r="27" spans="1:13" ht="10.5">
      <c r="A27" s="609" t="s">
        <v>78</v>
      </c>
      <c r="B27" s="610"/>
      <c r="C27" s="202">
        <f>+C17-C26</f>
        <v>12896104.584500004</v>
      </c>
      <c r="D27" s="202">
        <f>+D17-D26</f>
        <v>24895067.01032667</v>
      </c>
      <c r="E27" s="202">
        <f>+E17-E26</f>
        <v>36305860.1133343</v>
      </c>
      <c r="F27" s="202">
        <f aca="true" t="shared" si="2" ref="F27:M27">+F17-F26</f>
        <v>42544260.189683385</v>
      </c>
      <c r="G27" s="202">
        <f t="shared" si="2"/>
        <v>43315714.74013673</v>
      </c>
      <c r="H27" s="202">
        <f t="shared" si="2"/>
        <v>51090177.44442758</v>
      </c>
      <c r="I27" s="202" t="e">
        <f t="shared" si="2"/>
        <v>#DIV/0!</v>
      </c>
      <c r="J27" s="202" t="e">
        <f t="shared" si="2"/>
        <v>#DIV/0!</v>
      </c>
      <c r="K27" s="202" t="e">
        <f t="shared" si="2"/>
        <v>#DIV/0!</v>
      </c>
      <c r="L27" s="202" t="e">
        <f t="shared" si="2"/>
        <v>#DIV/0!</v>
      </c>
      <c r="M27" s="202" t="e">
        <f t="shared" si="2"/>
        <v>#DIV/0!</v>
      </c>
    </row>
    <row r="28" spans="1:13" ht="10.5">
      <c r="A28" s="609" t="s">
        <v>84</v>
      </c>
      <c r="B28" s="610"/>
      <c r="C28" s="202">
        <f>+C27</f>
        <v>12896104.584500004</v>
      </c>
      <c r="D28" s="202">
        <f>+C28+D27</f>
        <v>37791171.59482667</v>
      </c>
      <c r="E28" s="202">
        <f>+D28+E27</f>
        <v>74097031.70816097</v>
      </c>
      <c r="F28" s="202">
        <f aca="true" t="shared" si="3" ref="F28:M28">+E28+F27</f>
        <v>116641291.89784434</v>
      </c>
      <c r="G28" s="202">
        <f t="shared" si="3"/>
        <v>159957006.63798106</v>
      </c>
      <c r="H28" s="202">
        <f t="shared" si="3"/>
        <v>211047184.08240864</v>
      </c>
      <c r="I28" s="202" t="e">
        <f t="shared" si="3"/>
        <v>#DIV/0!</v>
      </c>
      <c r="J28" s="202" t="e">
        <f t="shared" si="3"/>
        <v>#DIV/0!</v>
      </c>
      <c r="K28" s="202" t="e">
        <f t="shared" si="3"/>
        <v>#DIV/0!</v>
      </c>
      <c r="L28" s="202" t="e">
        <f t="shared" si="3"/>
        <v>#DIV/0!</v>
      </c>
      <c r="M28" s="202" t="e">
        <f t="shared" si="3"/>
        <v>#DIV/0!</v>
      </c>
    </row>
    <row r="29" spans="1:13" ht="10.5">
      <c r="A29" s="609" t="s">
        <v>130</v>
      </c>
      <c r="B29" s="610"/>
      <c r="C29" s="337">
        <v>12896104.584500004</v>
      </c>
      <c r="D29" s="337">
        <v>37791171.59482667</v>
      </c>
      <c r="E29" s="337">
        <v>74097031.70816097</v>
      </c>
      <c r="F29" s="337">
        <v>116641291.89784434</v>
      </c>
      <c r="G29" s="337">
        <v>159957006.63798106</v>
      </c>
      <c r="H29" s="337">
        <v>211047184.0824086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</row>
    <row r="30" spans="1:13" ht="10.5">
      <c r="A30" s="609" t="s">
        <v>85</v>
      </c>
      <c r="B30" s="610"/>
      <c r="C30" s="337">
        <f>+C28-C29</f>
        <v>0</v>
      </c>
      <c r="D30" s="337">
        <f>+D28-D29</f>
        <v>0</v>
      </c>
      <c r="E30" s="337">
        <f>+E28-E29</f>
        <v>0</v>
      </c>
      <c r="F30" s="337">
        <f aca="true" t="shared" si="4" ref="F30:M30">+F28-F29</f>
        <v>0</v>
      </c>
      <c r="G30" s="337">
        <f t="shared" si="4"/>
        <v>0</v>
      </c>
      <c r="H30" s="337">
        <f t="shared" si="4"/>
        <v>0</v>
      </c>
      <c r="I30" s="337"/>
      <c r="J30" s="337" t="e">
        <f t="shared" si="4"/>
        <v>#DIV/0!</v>
      </c>
      <c r="K30" s="337" t="e">
        <f t="shared" si="4"/>
        <v>#DIV/0!</v>
      </c>
      <c r="L30" s="337" t="e">
        <f t="shared" si="4"/>
        <v>#DIV/0!</v>
      </c>
      <c r="M30" s="337" t="e">
        <f t="shared" si="4"/>
        <v>#DIV/0!</v>
      </c>
    </row>
    <row r="31" spans="1:13" ht="10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0.5">
      <c r="A32" s="43"/>
      <c r="B32" s="43"/>
      <c r="C32" s="173"/>
      <c r="D32" s="173"/>
      <c r="E32" s="173"/>
      <c r="F32" s="173"/>
      <c r="G32" s="173"/>
      <c r="H32" s="173"/>
      <c r="I32" s="173"/>
      <c r="J32" s="43"/>
      <c r="K32" s="43"/>
      <c r="L32" s="43"/>
      <c r="M32" s="43"/>
    </row>
    <row r="33" spans="1:13" ht="10.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0.5">
      <c r="A34" s="132"/>
      <c r="B34" s="43"/>
      <c r="C34" s="43"/>
      <c r="D34" s="43"/>
      <c r="E34" s="43"/>
      <c r="F34" s="43"/>
      <c r="G34" s="43"/>
      <c r="H34" s="43"/>
      <c r="I34" s="43"/>
      <c r="J34" s="173"/>
      <c r="K34" s="43"/>
      <c r="L34" s="43"/>
      <c r="M34" s="43"/>
    </row>
    <row r="35" spans="1:13" ht="10.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M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9"/>
  <sheetViews>
    <sheetView showGridLines="0" showZeros="0" zoomScalePageLayoutView="0" workbookViewId="0" topLeftCell="A34">
      <selection activeCell="Q32" sqref="Q32"/>
    </sheetView>
  </sheetViews>
  <sheetFormatPr defaultColWidth="9.140625" defaultRowHeight="12.75"/>
  <cols>
    <col min="1" max="1" width="20.57421875" style="51" bestFit="1" customWidth="1"/>
    <col min="2" max="2" width="7.57421875" style="51" customWidth="1"/>
    <col min="3" max="10" width="9.28125" style="51" bestFit="1" customWidth="1"/>
    <col min="11" max="12" width="9.57421875" style="51" bestFit="1" customWidth="1"/>
    <col min="13" max="13" width="9.28125" style="51" customWidth="1"/>
    <col min="14" max="17" width="11.421875" style="51" customWidth="1"/>
    <col min="18" max="16384" width="8.7109375" style="51" customWidth="1"/>
  </cols>
  <sheetData>
    <row r="1" spans="1:13" ht="12.75">
      <c r="A1" s="43"/>
      <c r="B1" s="43"/>
      <c r="C1" s="204"/>
      <c r="D1" s="204"/>
      <c r="E1" s="204"/>
      <c r="F1" s="204"/>
      <c r="G1" s="204"/>
      <c r="H1" s="204"/>
      <c r="I1" s="204"/>
      <c r="J1" s="204"/>
      <c r="K1" s="204"/>
      <c r="L1" s="428" t="s">
        <v>44</v>
      </c>
      <c r="M1" s="429" t="str">
        <f>+Pressupostos!E1</f>
        <v>JUPITER</v>
      </c>
    </row>
    <row r="2" spans="1:13" s="207" customFormat="1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tr">
        <f>+Pressupostos!B9</f>
        <v>Euros</v>
      </c>
    </row>
    <row r="3" spans="1:13" s="207" customFormat="1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6"/>
    </row>
    <row r="4" spans="1:13" ht="15.75">
      <c r="A4" s="562" t="s">
        <v>39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0.5">
      <c r="A5" s="43"/>
      <c r="B5" s="43"/>
      <c r="C5" s="116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0.5">
      <c r="A6" s="43"/>
      <c r="B6" s="43"/>
      <c r="C6" s="116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>
      <c r="A7" s="41"/>
      <c r="B7" s="60"/>
      <c r="C7" s="40">
        <f>+VN!C8</f>
        <v>2021</v>
      </c>
      <c r="D7" s="40">
        <f>+VN!D8</f>
        <v>2022</v>
      </c>
      <c r="E7" s="40">
        <f>+VN!E8</f>
        <v>2023</v>
      </c>
      <c r="F7" s="40">
        <f>+VN!F8</f>
        <v>2024</v>
      </c>
      <c r="G7" s="40">
        <f>+VN!G8</f>
        <v>2025</v>
      </c>
      <c r="H7" s="40">
        <f>+VN!H8</f>
        <v>2026</v>
      </c>
      <c r="I7" s="40">
        <f>+VN!I8</f>
        <v>2027</v>
      </c>
      <c r="J7" s="40">
        <f>+VN!J8</f>
        <v>2028</v>
      </c>
      <c r="K7" s="40">
        <f>+VN!K8</f>
        <v>2029</v>
      </c>
      <c r="L7" s="40">
        <f>+VN!L8</f>
        <v>2030</v>
      </c>
      <c r="M7" s="40">
        <f>+VN!M8</f>
        <v>2031</v>
      </c>
    </row>
    <row r="8" spans="1:13" ht="10.5">
      <c r="A8" s="617" t="s">
        <v>336</v>
      </c>
      <c r="B8" s="61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10.5">
      <c r="A9" s="117" t="s">
        <v>337</v>
      </c>
      <c r="B9" s="101"/>
      <c r="C9" s="120">
        <f>SUM(C10:C13)</f>
        <v>2715000</v>
      </c>
      <c r="D9" s="120">
        <f>SUM(D10:D13)</f>
        <v>6160000</v>
      </c>
      <c r="E9" s="120">
        <f aca="true" t="shared" si="0" ref="E9:M9">SUM(E10:E13)</f>
        <v>10606280</v>
      </c>
      <c r="F9" s="120">
        <f t="shared" si="0"/>
        <v>13061280</v>
      </c>
      <c r="G9" s="120">
        <f t="shared" si="0"/>
        <v>15502370.903333332</v>
      </c>
      <c r="H9" s="120">
        <f t="shared" si="0"/>
        <v>21969164.439999998</v>
      </c>
      <c r="I9" s="120">
        <f t="shared" si="0"/>
        <v>24283757.976666667</v>
      </c>
      <c r="J9" s="120">
        <f t="shared" si="0"/>
        <v>26334987.9</v>
      </c>
      <c r="K9" s="120">
        <f t="shared" si="0"/>
        <v>32672380</v>
      </c>
      <c r="L9" s="120">
        <f t="shared" si="0"/>
        <v>37375680</v>
      </c>
      <c r="M9" s="120">
        <f t="shared" si="0"/>
        <v>49358380</v>
      </c>
    </row>
    <row r="10" spans="1:13" ht="10.5">
      <c r="A10" s="44" t="s">
        <v>286</v>
      </c>
      <c r="B10" s="101"/>
      <c r="C10" s="84">
        <f>+Investimento!C180</f>
        <v>965000</v>
      </c>
      <c r="D10" s="84">
        <f>+Investimento!D180</f>
        <v>2545000</v>
      </c>
      <c r="E10" s="84">
        <f>+Investimento!E180</f>
        <v>2898000</v>
      </c>
      <c r="F10" s="84">
        <f>+Investimento!F180</f>
        <v>3063000</v>
      </c>
      <c r="G10" s="84">
        <f>+Investimento!G180</f>
        <v>3186750</v>
      </c>
      <c r="H10" s="84">
        <f>+Investimento!H180</f>
        <v>9732000</v>
      </c>
      <c r="I10" s="84">
        <f>+Investimento!I180</f>
        <v>8990050</v>
      </c>
      <c r="J10" s="84">
        <f>+Investimento!J180</f>
        <v>8246100</v>
      </c>
      <c r="K10" s="84">
        <f>+Investimento!K180</f>
        <v>7543400</v>
      </c>
      <c r="L10" s="84">
        <f>+Investimento!L180</f>
        <v>6841500</v>
      </c>
      <c r="M10" s="84">
        <f>+Investimento!M180</f>
        <v>16419000</v>
      </c>
    </row>
    <row r="11" spans="1:13" ht="10.5">
      <c r="A11" s="44" t="s">
        <v>281</v>
      </c>
      <c r="B11" s="101"/>
      <c r="C11" s="84">
        <f>+Investimento!C179</f>
        <v>0</v>
      </c>
      <c r="D11" s="84">
        <f>+Investimento!D179</f>
        <v>145000</v>
      </c>
      <c r="E11" s="84">
        <f>+Investimento!E179</f>
        <v>145000</v>
      </c>
      <c r="F11" s="84">
        <f>+Investimento!F179</f>
        <v>145000</v>
      </c>
      <c r="G11" s="84">
        <f>+Investimento!G179</f>
        <v>145000</v>
      </c>
      <c r="H11" s="84">
        <f>+Investimento!H179</f>
        <v>260200</v>
      </c>
      <c r="I11" s="84">
        <f>+Investimento!I179</f>
        <v>375400</v>
      </c>
      <c r="J11" s="84">
        <f>+Investimento!J179</f>
        <v>490600</v>
      </c>
      <c r="K11" s="84">
        <f>+Investimento!K179</f>
        <v>605800</v>
      </c>
      <c r="L11" s="84">
        <f>+Investimento!L179</f>
        <v>721000</v>
      </c>
      <c r="M11" s="84">
        <f>+Investimento!M179</f>
        <v>966200</v>
      </c>
    </row>
    <row r="12" spans="1:13" ht="10.5">
      <c r="A12" s="44" t="s">
        <v>289</v>
      </c>
      <c r="B12" s="101"/>
      <c r="C12" s="84">
        <f>+Investimento!C181</f>
        <v>1750000</v>
      </c>
      <c r="D12" s="84">
        <f>+Investimento!D181</f>
        <v>3470000</v>
      </c>
      <c r="E12" s="84">
        <f>+Investimento!E181</f>
        <v>7563280</v>
      </c>
      <c r="F12" s="84">
        <f>+Investimento!F181</f>
        <v>9853280</v>
      </c>
      <c r="G12" s="84">
        <f>+Investimento!G181</f>
        <v>12170620.903333332</v>
      </c>
      <c r="H12" s="84">
        <f>+Investimento!H181</f>
        <v>11976964.44</v>
      </c>
      <c r="I12" s="84">
        <f>+Investimento!I181</f>
        <v>14918307.976666667</v>
      </c>
      <c r="J12" s="84">
        <f>+Investimento!J181</f>
        <v>17598287.9</v>
      </c>
      <c r="K12" s="84">
        <f>+Investimento!K181</f>
        <v>24523180</v>
      </c>
      <c r="L12" s="84">
        <f>+Investimento!L181</f>
        <v>29813180</v>
      </c>
      <c r="M12" s="84">
        <f>+Investimento!M181</f>
        <v>31973180</v>
      </c>
    </row>
    <row r="13" spans="1:13" ht="10.5">
      <c r="A13" s="44" t="s">
        <v>338</v>
      </c>
      <c r="B13" s="101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ht="10.5">
      <c r="A14" s="44"/>
      <c r="B14" s="10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5" ht="10.5">
      <c r="A15" s="117" t="s">
        <v>339</v>
      </c>
      <c r="B15" s="101"/>
      <c r="C15" s="120">
        <f>SUM(C16:C22)</f>
        <v>14426818.059500003</v>
      </c>
      <c r="D15" s="120">
        <f>SUM(D16:D22)</f>
        <v>40909278.316243336</v>
      </c>
      <c r="E15" s="120">
        <f aca="true" t="shared" si="1" ref="E15:M15">SUM(E16:E22)</f>
        <v>79562535.64722013</v>
      </c>
      <c r="F15" s="120">
        <f t="shared" si="1"/>
        <v>123070655.67484976</v>
      </c>
      <c r="G15" s="120">
        <f t="shared" si="1"/>
        <v>166711052.7189302</v>
      </c>
      <c r="H15" s="120">
        <f t="shared" si="1"/>
        <v>218294257.85611364</v>
      </c>
      <c r="I15" s="120">
        <f t="shared" si="1"/>
        <v>7641762.034506666</v>
      </c>
      <c r="J15" s="120">
        <f t="shared" si="1"/>
        <v>8242337.289192084</v>
      </c>
      <c r="K15" s="120">
        <f t="shared" si="1"/>
        <v>8971852.05567125</v>
      </c>
      <c r="L15" s="120">
        <f t="shared" si="1"/>
        <v>9860909.186659167</v>
      </c>
      <c r="M15" s="120">
        <f t="shared" si="1"/>
        <v>11046380.692871168</v>
      </c>
      <c r="N15" s="133"/>
      <c r="O15" s="133"/>
    </row>
    <row r="16" spans="1:15" ht="10.5">
      <c r="A16" s="44" t="s">
        <v>175</v>
      </c>
      <c r="B16" s="101"/>
      <c r="C16" s="84">
        <f>+FundoManeio!C11</f>
        <v>106834.97499999996</v>
      </c>
      <c r="D16" s="84">
        <f>+FundoManeio!D11</f>
        <v>219905.36641666657</v>
      </c>
      <c r="E16" s="84">
        <f>+FundoManeio!E11</f>
        <v>406680.1971591665</v>
      </c>
      <c r="F16" s="84">
        <f>+FundoManeio!F11</f>
        <v>482844.57563874987</v>
      </c>
      <c r="G16" s="84">
        <f>+FundoManeio!G11</f>
        <v>506978.8210824998</v>
      </c>
      <c r="H16" s="84">
        <f>+FundoManeio!H11</f>
        <v>537389.1985474998</v>
      </c>
      <c r="I16" s="84">
        <f>+FundoManeio!I11</f>
        <v>574996.8624399998</v>
      </c>
      <c r="J16" s="84">
        <f>+FundoManeio!J11</f>
        <v>620993.1724587498</v>
      </c>
      <c r="K16" s="84">
        <f>+FundoManeio!K11</f>
        <v>676876.5397712499</v>
      </c>
      <c r="L16" s="84">
        <f>+FundoManeio!L11</f>
        <v>745017.0215258332</v>
      </c>
      <c r="M16" s="84">
        <f>+FundoManeio!M11</f>
        <v>826459.7332874998</v>
      </c>
      <c r="N16" s="133"/>
      <c r="O16" s="133"/>
    </row>
    <row r="17" spans="1:15" ht="10.5">
      <c r="A17" s="44" t="s">
        <v>32</v>
      </c>
      <c r="B17" s="101"/>
      <c r="C17" s="84">
        <f>+FundoManeio!C10-VN!C87</f>
        <v>1373878.4999999998</v>
      </c>
      <c r="D17" s="84">
        <f>+FundoManeio!D10-SUM(VN!$C$87:D87)</f>
        <v>2848201.355</v>
      </c>
      <c r="E17" s="84">
        <f>+FundoManeio!E10-SUM(VN!$C$87:E87)</f>
        <v>5008823.7419</v>
      </c>
      <c r="F17" s="84">
        <f>+FundoManeio!F10-SUM(VN!$C$87:F87)</f>
        <v>5896519.201366667</v>
      </c>
      <c r="G17" s="84">
        <f>+FundoManeio!G10-SUM(VN!$C$87:G87)</f>
        <v>6197067.259866667</v>
      </c>
      <c r="H17" s="84">
        <f>+FundoManeio!H10-SUM(VN!$C$87:H87)</f>
        <v>6563592.073433332</v>
      </c>
      <c r="I17" s="84">
        <f>+FundoManeio!I10-SUM(VN!$C$87:I87)</f>
        <v>7016765.172066665</v>
      </c>
      <c r="J17" s="84">
        <f>+FundoManeio!J10-SUM(VN!$C$87:J87)</f>
        <v>7571344.116733334</v>
      </c>
      <c r="K17" s="84">
        <f>+FundoManeio!K10-SUM(VN!$C$87:K87)</f>
        <v>8244975.5159</v>
      </c>
      <c r="L17" s="84">
        <f>+FundoManeio!L10-SUM(VN!$C$87:L87)</f>
        <v>9065892.165133333</v>
      </c>
      <c r="M17" s="84">
        <f>+FundoManeio!M10-SUM(VN!$C$87:M87)</f>
        <v>10047572.600166667</v>
      </c>
      <c r="N17" s="133"/>
      <c r="O17" s="133"/>
    </row>
    <row r="18" spans="1:15" ht="10.5">
      <c r="A18" s="44" t="s">
        <v>131</v>
      </c>
      <c r="B18" s="101"/>
      <c r="C18" s="84">
        <f>+FundoManeio!C12</f>
        <v>0</v>
      </c>
      <c r="D18" s="84">
        <f>+FundoManeio!D12</f>
        <v>0</v>
      </c>
      <c r="E18" s="84">
        <f>+FundoManeio!E12</f>
        <v>0</v>
      </c>
      <c r="F18" s="84">
        <f>+FundoManeio!F12</f>
        <v>0</v>
      </c>
      <c r="G18" s="84">
        <f>+FundoManeio!G12</f>
        <v>0</v>
      </c>
      <c r="H18" s="84">
        <f>+FundoManeio!H12</f>
        <v>96092.5017242</v>
      </c>
      <c r="I18" s="84">
        <f>+FundoManeio!I12</f>
        <v>0</v>
      </c>
      <c r="J18" s="84">
        <f>+FundoManeio!J12</f>
        <v>0</v>
      </c>
      <c r="K18" s="84">
        <f>+FundoManeio!K12</f>
        <v>0</v>
      </c>
      <c r="L18" s="84">
        <f>+FundoManeio!L12</f>
        <v>0</v>
      </c>
      <c r="M18" s="84">
        <f>+FundoManeio!M12</f>
        <v>122348.359417</v>
      </c>
      <c r="N18" s="133"/>
      <c r="O18" s="133"/>
    </row>
    <row r="19" spans="1:15" ht="10.5">
      <c r="A19" s="44" t="s">
        <v>340</v>
      </c>
      <c r="B19" s="10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133"/>
      <c r="O19" s="133"/>
    </row>
    <row r="20" spans="1:15" ht="10.5">
      <c r="A20" s="44" t="s">
        <v>341</v>
      </c>
      <c r="B20" s="10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33"/>
      <c r="O20" s="133"/>
    </row>
    <row r="21" spans="1:15" ht="10.5">
      <c r="A21" s="44" t="s">
        <v>176</v>
      </c>
      <c r="B21" s="10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133"/>
      <c r="O21" s="133"/>
    </row>
    <row r="22" spans="1:15" ht="10.5">
      <c r="A22" s="44" t="s">
        <v>342</v>
      </c>
      <c r="B22" s="101"/>
      <c r="C22" s="430">
        <f>+IF(PlanoFinanceiro!C29&gt;0,PlanoFinanceiro!C29,0)+FundoManeio!C9</f>
        <v>12946104.584500004</v>
      </c>
      <c r="D22" s="430">
        <f>+IF(PlanoFinanceiro!D29&gt;0,PlanoFinanceiro!D29,0)+FundoManeio!D9</f>
        <v>37841171.59482667</v>
      </c>
      <c r="E22" s="430">
        <f>+IF(PlanoFinanceiro!E29&gt;0,PlanoFinanceiro!E29,0)+FundoManeio!E9</f>
        <v>74147031.70816097</v>
      </c>
      <c r="F22" s="430">
        <f>+IF(PlanoFinanceiro!F29&gt;0,PlanoFinanceiro!F29,0)+FundoManeio!F9</f>
        <v>116691291.89784434</v>
      </c>
      <c r="G22" s="430">
        <f>+IF(PlanoFinanceiro!G29&gt;0,PlanoFinanceiro!G29,0)+FundoManeio!G9</f>
        <v>160007006.63798106</v>
      </c>
      <c r="H22" s="430">
        <f>+IF(PlanoFinanceiro!H29&gt;0,PlanoFinanceiro!H29,0)+FundoManeio!H9</f>
        <v>211097184.0824086</v>
      </c>
      <c r="I22" s="430">
        <f>+IF(PlanoFinanceiro!I29&gt;0,PlanoFinanceiro!I29,0)+FundoManeio!I9</f>
        <v>50000</v>
      </c>
      <c r="J22" s="430">
        <f>+IF(PlanoFinanceiro!J29&gt;0,PlanoFinanceiro!J29,0)+FundoManeio!J9</f>
        <v>50000</v>
      </c>
      <c r="K22" s="430">
        <f>+IF(PlanoFinanceiro!K29&gt;0,PlanoFinanceiro!K29,0)+FundoManeio!K9</f>
        <v>50000</v>
      </c>
      <c r="L22" s="430">
        <f>+IF(PlanoFinanceiro!L29&gt;0,PlanoFinanceiro!L29,0)+FundoManeio!L9</f>
        <v>50000</v>
      </c>
      <c r="M22" s="430">
        <f>+IF(PlanoFinanceiro!M29&gt;0,PlanoFinanceiro!M29,0)+FundoManeio!M9</f>
        <v>50000</v>
      </c>
      <c r="N22" s="133"/>
      <c r="O22" s="133"/>
    </row>
    <row r="23" spans="1:15" ht="10.5" thickBot="1">
      <c r="A23" s="571" t="s">
        <v>343</v>
      </c>
      <c r="B23" s="572"/>
      <c r="C23" s="209">
        <f>+C15+C9</f>
        <v>17141818.0595</v>
      </c>
      <c r="D23" s="209">
        <f>+D15+D9</f>
        <v>47069278.316243336</v>
      </c>
      <c r="E23" s="209">
        <f aca="true" t="shared" si="2" ref="E23:M23">+E15+E9</f>
        <v>90168815.64722013</v>
      </c>
      <c r="F23" s="209">
        <f t="shared" si="2"/>
        <v>136131935.67484975</v>
      </c>
      <c r="G23" s="209">
        <f t="shared" si="2"/>
        <v>182213423.62226355</v>
      </c>
      <c r="H23" s="209">
        <f t="shared" si="2"/>
        <v>240263422.29611364</v>
      </c>
      <c r="I23" s="209">
        <f t="shared" si="2"/>
        <v>31925520.01117333</v>
      </c>
      <c r="J23" s="209">
        <f t="shared" si="2"/>
        <v>34577325.18919209</v>
      </c>
      <c r="K23" s="209">
        <f t="shared" si="2"/>
        <v>41644232.05567125</v>
      </c>
      <c r="L23" s="209">
        <f t="shared" si="2"/>
        <v>47236589.186659165</v>
      </c>
      <c r="M23" s="209">
        <f t="shared" si="2"/>
        <v>60404760.69287117</v>
      </c>
      <c r="N23" s="133"/>
      <c r="O23" s="133"/>
    </row>
    <row r="24" spans="1:15" ht="10.5" thickTop="1">
      <c r="A24" s="159"/>
      <c r="B24" s="43"/>
      <c r="C24" s="93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133"/>
      <c r="O24" s="133"/>
    </row>
    <row r="25" spans="1:15" ht="10.5">
      <c r="A25" s="588" t="s">
        <v>132</v>
      </c>
      <c r="B25" s="619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133"/>
      <c r="O25" s="133"/>
    </row>
    <row r="26" spans="1:15" ht="10.5">
      <c r="A26" s="108" t="s">
        <v>344</v>
      </c>
      <c r="B26" s="101"/>
      <c r="C26" s="84">
        <f>+Financiamento!C15</f>
        <v>120000</v>
      </c>
      <c r="D26" s="84">
        <f>+C26+Financiamento!D15</f>
        <v>6000000</v>
      </c>
      <c r="E26" s="84">
        <f>+D26+Financiamento!E15</f>
        <v>7000000</v>
      </c>
      <c r="F26" s="84">
        <f>+E26+Financiamento!F15</f>
        <v>8000000</v>
      </c>
      <c r="G26" s="84">
        <f>+F26+Financiamento!G15</f>
        <v>9000000</v>
      </c>
      <c r="H26" s="84">
        <f>+G26+Financiamento!H15</f>
        <v>10000000</v>
      </c>
      <c r="I26" s="84">
        <f>+H26+Financiamento!I15</f>
        <v>11000000</v>
      </c>
      <c r="J26" s="84">
        <f>+I26+Financiamento!J15</f>
        <v>12000000</v>
      </c>
      <c r="K26" s="84">
        <f>+J26+Financiamento!K15</f>
        <v>13000000</v>
      </c>
      <c r="L26" s="84">
        <f>+K26+Financiamento!L15</f>
        <v>14000000</v>
      </c>
      <c r="M26" s="84">
        <f>+L26+Financiamento!M15</f>
        <v>15000000</v>
      </c>
      <c r="N26" s="133"/>
      <c r="O26" s="133"/>
    </row>
    <row r="27" spans="1:15" ht="10.5">
      <c r="A27" s="108" t="s">
        <v>345</v>
      </c>
      <c r="B27" s="10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133"/>
      <c r="O27" s="133"/>
    </row>
    <row r="28" spans="1:15" ht="10.5">
      <c r="A28" s="108" t="s">
        <v>346</v>
      </c>
      <c r="B28" s="101"/>
      <c r="C28" s="84">
        <f>+Financiamento!C16</f>
        <v>0</v>
      </c>
      <c r="D28" s="84">
        <f>+C28+Financiamento!D16</f>
        <v>0</v>
      </c>
      <c r="E28" s="84">
        <f>+D28+Financiamento!E16</f>
        <v>0</v>
      </c>
      <c r="F28" s="84">
        <f>+E28+Financiamento!F16</f>
        <v>0</v>
      </c>
      <c r="G28" s="84">
        <f>+F28+Financiamento!G16</f>
        <v>0</v>
      </c>
      <c r="H28" s="84">
        <f>+G28+Financiamento!H16</f>
        <v>0</v>
      </c>
      <c r="I28" s="84">
        <f>+H28+Financiamento!I16</f>
        <v>0</v>
      </c>
      <c r="J28" s="84">
        <f>+I28+Financiamento!J16</f>
        <v>0</v>
      </c>
      <c r="K28" s="84">
        <f>+J28+Financiamento!K16</f>
        <v>0</v>
      </c>
      <c r="L28" s="84">
        <f>+K28+Financiamento!L16</f>
        <v>0</v>
      </c>
      <c r="M28" s="84">
        <f>+L28+Financiamento!M16</f>
        <v>0</v>
      </c>
      <c r="N28" s="133"/>
      <c r="O28" s="133"/>
    </row>
    <row r="29" spans="1:15" ht="10.5">
      <c r="A29" s="108" t="s">
        <v>205</v>
      </c>
      <c r="B29" s="101"/>
      <c r="C29" s="84"/>
      <c r="D29" s="84">
        <f>+C29+C32-PlanoFinanceiro!D22</f>
        <v>10058775.02585</v>
      </c>
      <c r="E29" s="84">
        <f>+D29+D32-PlanoFinanceiro!E22</f>
        <v>30911241.814839996</v>
      </c>
      <c r="F29" s="84">
        <f>+E29+E32-PlanoFinanceiro!F22</f>
        <v>68237837.2515522</v>
      </c>
      <c r="G29" s="84">
        <f>+F29+F32-PlanoFinanceiro!G22</f>
        <v>112513927.6270915</v>
      </c>
      <c r="H29" s="84">
        <f>+G29+G32-PlanoFinanceiro!H22</f>
        <v>158439622.14765063</v>
      </c>
      <c r="I29" s="84">
        <f>+H29+H32-PlanoFinanceiro!I22</f>
        <v>206284442.00180668</v>
      </c>
      <c r="J29" s="84">
        <f>+I29+I32-PlanoFinanceiro!J22</f>
        <v>257809066.10856092</v>
      </c>
      <c r="K29" s="84" t="e">
        <f>+J29+J32-PlanoFinanceiro!K22</f>
        <v>#DIV/0!</v>
      </c>
      <c r="L29" s="84" t="e">
        <f>+K29+K32-PlanoFinanceiro!L22</f>
        <v>#DIV/0!</v>
      </c>
      <c r="M29" s="84" t="e">
        <f>+L29+L32-PlanoFinanceiro!M22</f>
        <v>#DIV/0!</v>
      </c>
      <c r="N29" s="133"/>
      <c r="O29" s="133"/>
    </row>
    <row r="30" spans="1:15" ht="10.5">
      <c r="A30" s="108" t="s">
        <v>347</v>
      </c>
      <c r="B30" s="10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33"/>
      <c r="O30" s="133"/>
    </row>
    <row r="31" spans="1:15" ht="10.5">
      <c r="A31" s="108" t="s">
        <v>348</v>
      </c>
      <c r="B31" s="101"/>
      <c r="C31" s="84">
        <f>+Financiamento!C19</f>
        <v>0</v>
      </c>
      <c r="D31" s="84">
        <f>+C31+Financiamento!D19</f>
        <v>0</v>
      </c>
      <c r="E31" s="84">
        <f>+D31+Financiamento!E19</f>
        <v>0</v>
      </c>
      <c r="F31" s="84">
        <f>+E31+Financiamento!F19</f>
        <v>0</v>
      </c>
      <c r="G31" s="84">
        <f>+F31+Financiamento!G19</f>
        <v>0</v>
      </c>
      <c r="H31" s="84">
        <f>+G31+Financiamento!H19</f>
        <v>0</v>
      </c>
      <c r="I31" s="84">
        <f>+H31+Financiamento!I19</f>
        <v>0</v>
      </c>
      <c r="J31" s="84">
        <f>+I31+Financiamento!J19</f>
        <v>0</v>
      </c>
      <c r="K31" s="84">
        <f>+J31+Financiamento!K19</f>
        <v>0</v>
      </c>
      <c r="L31" s="84">
        <f>+K31+Financiamento!L19</f>
        <v>0</v>
      </c>
      <c r="M31" s="84">
        <f>+L31+Financiamento!M19</f>
        <v>0</v>
      </c>
      <c r="N31" s="133"/>
      <c r="O31" s="133"/>
    </row>
    <row r="32" spans="1:15" ht="10.5">
      <c r="A32" s="108" t="s">
        <v>349</v>
      </c>
      <c r="B32" s="101"/>
      <c r="C32" s="84">
        <f>+'DR'!B31</f>
        <v>10058775.02585</v>
      </c>
      <c r="D32" s="84">
        <f>+'DR'!C31</f>
        <v>20852466.78899</v>
      </c>
      <c r="E32" s="84">
        <f>+'DR'!D31</f>
        <v>37326595.436712205</v>
      </c>
      <c r="F32" s="84">
        <f>+'DR'!E31</f>
        <v>44276090.3755393</v>
      </c>
      <c r="G32" s="84">
        <f>+'DR'!F31</f>
        <v>45925694.52055914</v>
      </c>
      <c r="H32" s="84">
        <f>+'DR'!G31</f>
        <v>47844819.85415606</v>
      </c>
      <c r="I32" s="84">
        <f>+'DR'!H31</f>
        <v>51524624.10675425</v>
      </c>
      <c r="J32" s="84" t="e">
        <f>+'DR'!I31</f>
        <v>#DIV/0!</v>
      </c>
      <c r="K32" s="84" t="e">
        <f>+'DR'!J31</f>
        <v>#DIV/0!</v>
      </c>
      <c r="L32" s="84" t="e">
        <f>+'DR'!K31</f>
        <v>#DIV/0!</v>
      </c>
      <c r="M32" s="84" t="e">
        <f>+'DR'!L31</f>
        <v>#DIV/0!</v>
      </c>
      <c r="N32" s="133"/>
      <c r="O32" s="133"/>
    </row>
    <row r="33" spans="1:15" ht="10.5" thickBot="1">
      <c r="A33" s="571" t="s">
        <v>171</v>
      </c>
      <c r="B33" s="573"/>
      <c r="C33" s="272">
        <f>SUM(C26:C32)</f>
        <v>10178775.02585</v>
      </c>
      <c r="D33" s="272">
        <f>SUM(D26:D32)</f>
        <v>36911241.81484</v>
      </c>
      <c r="E33" s="272">
        <f aca="true" t="shared" si="3" ref="E33:M33">SUM(E26:E32)</f>
        <v>75237837.2515522</v>
      </c>
      <c r="F33" s="272">
        <f t="shared" si="3"/>
        <v>120513927.6270915</v>
      </c>
      <c r="G33" s="272">
        <f t="shared" si="3"/>
        <v>167439622.14765063</v>
      </c>
      <c r="H33" s="272">
        <f t="shared" si="3"/>
        <v>216284442.00180668</v>
      </c>
      <c r="I33" s="272">
        <f t="shared" si="3"/>
        <v>268809066.1085609</v>
      </c>
      <c r="J33" s="272" t="e">
        <f t="shared" si="3"/>
        <v>#DIV/0!</v>
      </c>
      <c r="K33" s="272" t="e">
        <f t="shared" si="3"/>
        <v>#DIV/0!</v>
      </c>
      <c r="L33" s="272" t="e">
        <f t="shared" si="3"/>
        <v>#DIV/0!</v>
      </c>
      <c r="M33" s="272" t="e">
        <f t="shared" si="3"/>
        <v>#DIV/0!</v>
      </c>
      <c r="N33" s="133"/>
      <c r="O33" s="133"/>
    </row>
    <row r="34" spans="1:15" ht="10.5" thickTop="1">
      <c r="A34" s="43"/>
      <c r="B34" s="4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33"/>
      <c r="O34" s="133"/>
    </row>
    <row r="35" spans="1:15" ht="10.5">
      <c r="A35" s="620" t="s">
        <v>34</v>
      </c>
      <c r="B35" s="621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133"/>
      <c r="O35" s="133"/>
    </row>
    <row r="36" spans="1:15" ht="10.5">
      <c r="A36" s="117"/>
      <c r="B36" s="10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133"/>
      <c r="O36" s="133"/>
    </row>
    <row r="37" spans="1:15" ht="10.5">
      <c r="A37" s="117" t="s">
        <v>350</v>
      </c>
      <c r="B37" s="101"/>
      <c r="C37" s="120">
        <f>SUM(C38:C40)</f>
        <v>4000000</v>
      </c>
      <c r="D37" s="120">
        <f>SUM(D38:D40)</f>
        <v>4000000</v>
      </c>
      <c r="E37" s="120">
        <f aca="true" t="shared" si="4" ref="E37:M37">SUM(E38:E40)</f>
        <v>4000000</v>
      </c>
      <c r="F37" s="120">
        <f t="shared" si="4"/>
        <v>2666666.666666667</v>
      </c>
      <c r="G37" s="120">
        <f t="shared" si="4"/>
        <v>1333333.3333333337</v>
      </c>
      <c r="H37" s="120">
        <f t="shared" si="4"/>
        <v>10000000</v>
      </c>
      <c r="I37" s="120" t="e">
        <f t="shared" si="4"/>
        <v>#DIV/0!</v>
      </c>
      <c r="J37" s="120" t="e">
        <f t="shared" si="4"/>
        <v>#DIV/0!</v>
      </c>
      <c r="K37" s="120" t="e">
        <f t="shared" si="4"/>
        <v>#DIV/0!</v>
      </c>
      <c r="L37" s="120" t="e">
        <f t="shared" si="4"/>
        <v>#DIV/0!</v>
      </c>
      <c r="M37" s="120" t="e">
        <f t="shared" si="4"/>
        <v>#DIV/0!</v>
      </c>
      <c r="N37" s="133"/>
      <c r="O37" s="133"/>
    </row>
    <row r="38" spans="1:15" ht="10.5">
      <c r="A38" s="44" t="s">
        <v>172</v>
      </c>
      <c r="B38" s="10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133"/>
      <c r="O38" s="133"/>
    </row>
    <row r="39" spans="1:15" ht="10.5">
      <c r="A39" s="44" t="s">
        <v>173</v>
      </c>
      <c r="B39" s="101"/>
      <c r="C39" s="84">
        <f>+Financiamento!C101</f>
        <v>4000000</v>
      </c>
      <c r="D39" s="84">
        <f>+Financiamento!D101</f>
        <v>4000000</v>
      </c>
      <c r="E39" s="84">
        <f>+Financiamento!E101</f>
        <v>4000000</v>
      </c>
      <c r="F39" s="84">
        <f>+Financiamento!F101</f>
        <v>2666666.666666667</v>
      </c>
      <c r="G39" s="84">
        <f>+Financiamento!G101</f>
        <v>1333333.3333333337</v>
      </c>
      <c r="H39" s="84">
        <f>+Financiamento!H101</f>
        <v>10000000</v>
      </c>
      <c r="I39" s="84" t="e">
        <f>+Financiamento!I101</f>
        <v>#DIV/0!</v>
      </c>
      <c r="J39" s="84" t="e">
        <f>+Financiamento!J101</f>
        <v>#DIV/0!</v>
      </c>
      <c r="K39" s="84" t="e">
        <f>+Financiamento!K101</f>
        <v>#DIV/0!</v>
      </c>
      <c r="L39" s="84" t="e">
        <f>+Financiamento!L101</f>
        <v>#DIV/0!</v>
      </c>
      <c r="M39" s="84" t="e">
        <f>+Financiamento!M101</f>
        <v>#DIV/0!</v>
      </c>
      <c r="N39" s="133"/>
      <c r="O39" s="133"/>
    </row>
    <row r="40" spans="1:15" ht="10.5">
      <c r="A40" s="44" t="s">
        <v>351</v>
      </c>
      <c r="B40" s="10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133"/>
      <c r="O40" s="133"/>
    </row>
    <row r="41" spans="1:15" ht="10.5">
      <c r="A41" s="44"/>
      <c r="B41" s="10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133"/>
      <c r="O41" s="133"/>
    </row>
    <row r="42" spans="1:15" ht="10.5">
      <c r="A42" s="117" t="s">
        <v>352</v>
      </c>
      <c r="B42" s="101"/>
      <c r="C42" s="299">
        <f>SUM(C43:C47)</f>
        <v>2963043.03365</v>
      </c>
      <c r="D42" s="299">
        <f>SUM(D43:D47)</f>
        <v>6158036.501403334</v>
      </c>
      <c r="E42" s="299">
        <f aca="true" t="shared" si="5" ref="E42:M42">SUM(E43:E47)</f>
        <v>10930978.395667933</v>
      </c>
      <c r="F42" s="299">
        <f t="shared" si="5"/>
        <v>12951341.381091598</v>
      </c>
      <c r="G42" s="299">
        <f t="shared" si="5"/>
        <v>13440468.1412796</v>
      </c>
      <c r="H42" s="299">
        <f t="shared" si="5"/>
        <v>13858980.294306997</v>
      </c>
      <c r="I42" s="299">
        <f t="shared" si="5"/>
        <v>15074308.307441195</v>
      </c>
      <c r="J42" s="299" t="e">
        <f t="shared" si="5"/>
        <v>#DIV/0!</v>
      </c>
      <c r="K42" s="299" t="e">
        <f t="shared" si="5"/>
        <v>#DIV/0!</v>
      </c>
      <c r="L42" s="299" t="e">
        <f t="shared" si="5"/>
        <v>#DIV/0!</v>
      </c>
      <c r="M42" s="299" t="e">
        <f t="shared" si="5"/>
        <v>#DIV/0!</v>
      </c>
      <c r="N42" s="133"/>
      <c r="O42" s="133"/>
    </row>
    <row r="43" spans="1:15" ht="10.5">
      <c r="A43" s="44" t="s">
        <v>11</v>
      </c>
      <c r="B43" s="101"/>
      <c r="C43" s="211">
        <f>+FundoManeio!C17</f>
        <v>220383.1364999999</v>
      </c>
      <c r="D43" s="211">
        <f>+FundoManeio!D17</f>
        <v>453985.35580333316</v>
      </c>
      <c r="E43" s="211">
        <f>+FundoManeio!E17</f>
        <v>827657.975977433</v>
      </c>
      <c r="F43" s="211">
        <f>+FundoManeio!F17</f>
        <v>980155.5917357998</v>
      </c>
      <c r="G43" s="211">
        <f>+FundoManeio!G17</f>
        <v>1028643.5320547996</v>
      </c>
      <c r="H43" s="211">
        <f>+FundoManeio!H17</f>
        <v>1089740.8044363996</v>
      </c>
      <c r="I43" s="211">
        <f>+FundoManeio!I17</f>
        <v>1165298.0936255998</v>
      </c>
      <c r="J43" s="211">
        <f>+FundoManeio!J17</f>
        <v>1257708.9518925997</v>
      </c>
      <c r="K43" s="211">
        <f>+FundoManeio!K17</f>
        <v>1369983.8264225996</v>
      </c>
      <c r="L43" s="211">
        <f>+FundoManeio!L17</f>
        <v>1506880.2534518663</v>
      </c>
      <c r="M43" s="211">
        <f>+FundoManeio!M17</f>
        <v>1670510.3532139994</v>
      </c>
      <c r="N43" s="133"/>
      <c r="O43" s="133"/>
    </row>
    <row r="44" spans="1:15" ht="10.5">
      <c r="A44" s="44" t="s">
        <v>131</v>
      </c>
      <c r="B44" s="101"/>
      <c r="C44" s="211">
        <f>+FundoManeio!C18+'DR'!B30</f>
        <v>2742659.89715</v>
      </c>
      <c r="D44" s="211">
        <f>+FundoManeio!D18+'DR'!C30</f>
        <v>5704051.1456</v>
      </c>
      <c r="E44" s="211">
        <f>+FundoManeio!E18+'DR'!D30</f>
        <v>10103320.4196905</v>
      </c>
      <c r="F44" s="211">
        <f>+FundoManeio!F18+'DR'!E30</f>
        <v>11971185.7893558</v>
      </c>
      <c r="G44" s="211">
        <f>+FundoManeio!G18+'DR'!F30</f>
        <v>12411824.609224802</v>
      </c>
      <c r="H44" s="211">
        <f>+FundoManeio!H18+'DR'!G30</f>
        <v>12769239.489870599</v>
      </c>
      <c r="I44" s="211">
        <f>+FundoManeio!I18+'DR'!H30</f>
        <v>13909010.213815596</v>
      </c>
      <c r="J44" s="211" t="e">
        <f>+FundoManeio!J18+'DR'!I30</f>
        <v>#DIV/0!</v>
      </c>
      <c r="K44" s="211" t="e">
        <f>+FundoManeio!K18+'DR'!J30</f>
        <v>#DIV/0!</v>
      </c>
      <c r="L44" s="211" t="e">
        <f>+FundoManeio!L18+'DR'!K30</f>
        <v>#DIV/0!</v>
      </c>
      <c r="M44" s="211" t="e">
        <f>+FundoManeio!M18+'DR'!L30</f>
        <v>#DIV/0!</v>
      </c>
      <c r="N44" s="133"/>
      <c r="O44" s="133"/>
    </row>
    <row r="45" spans="1:15" ht="10.5">
      <c r="A45" s="44" t="s">
        <v>340</v>
      </c>
      <c r="B45" s="101"/>
      <c r="C45" s="211">
        <f>+Financiamento!C17</f>
        <v>0</v>
      </c>
      <c r="D45" s="211">
        <f>+C45+Financiamento!D17</f>
        <v>0</v>
      </c>
      <c r="E45" s="211">
        <f>+D45+Financiamento!E17</f>
        <v>0</v>
      </c>
      <c r="F45" s="211">
        <f>+E45+Financiamento!F17</f>
        <v>0</v>
      </c>
      <c r="G45" s="211">
        <f>+F45+Financiamento!G17</f>
        <v>0</v>
      </c>
      <c r="H45" s="211">
        <f>+G45+Financiamento!H17</f>
        <v>0</v>
      </c>
      <c r="I45" s="211">
        <f>+H45+Financiamento!I17</f>
        <v>0</v>
      </c>
      <c r="J45" s="211">
        <f>+I45+Financiamento!J17</f>
        <v>0</v>
      </c>
      <c r="K45" s="211">
        <f>+J45+Financiamento!K17</f>
        <v>0</v>
      </c>
      <c r="L45" s="211">
        <f>+K45+Financiamento!L17</f>
        <v>0</v>
      </c>
      <c r="M45" s="211">
        <f>+L45+Financiamento!M17</f>
        <v>0</v>
      </c>
      <c r="N45" s="133"/>
      <c r="O45" s="133"/>
    </row>
    <row r="46" spans="1:15" ht="10.5">
      <c r="A46" s="44" t="s">
        <v>173</v>
      </c>
      <c r="B46" s="101"/>
      <c r="C46" s="430">
        <f>+IF(PlanoFinanceiro!C29&lt;0,-PlanoFinanceiro!C29,0)</f>
        <v>0</v>
      </c>
      <c r="D46" s="430">
        <f>+IF(PlanoFinanceiro!D29&lt;0,-PlanoFinanceiro!D29,0)</f>
        <v>0</v>
      </c>
      <c r="E46" s="430">
        <f>+IF(PlanoFinanceiro!E29&lt;0,-PlanoFinanceiro!E29,0)</f>
        <v>0</v>
      </c>
      <c r="F46" s="430">
        <f>+IF(PlanoFinanceiro!F29&lt;0,-PlanoFinanceiro!F29,0)</f>
        <v>0</v>
      </c>
      <c r="G46" s="430">
        <f>+IF(PlanoFinanceiro!G29&lt;0,-PlanoFinanceiro!G29,0)</f>
        <v>0</v>
      </c>
      <c r="H46" s="430">
        <f>+IF(PlanoFinanceiro!H29&lt;0,-PlanoFinanceiro!H29,0)</f>
        <v>0</v>
      </c>
      <c r="I46" s="430">
        <f>+IF(PlanoFinanceiro!I29&lt;0,-PlanoFinanceiro!I29,0)</f>
        <v>0</v>
      </c>
      <c r="J46" s="430">
        <f>+IF(PlanoFinanceiro!J29&lt;0,-PlanoFinanceiro!J29,0)</f>
        <v>0</v>
      </c>
      <c r="K46" s="430">
        <f>+IF(PlanoFinanceiro!K29&lt;0,-PlanoFinanceiro!K29,0)</f>
        <v>0</v>
      </c>
      <c r="L46" s="430">
        <f>+IF(PlanoFinanceiro!L29&lt;0,-PlanoFinanceiro!L29,0)</f>
        <v>0</v>
      </c>
      <c r="M46" s="430">
        <f>+IF(PlanoFinanceiro!M29&lt;0,-PlanoFinanceiro!M29,0)</f>
        <v>0</v>
      </c>
      <c r="N46" s="133"/>
      <c r="O46" s="133"/>
    </row>
    <row r="47" spans="1:15" ht="10.5">
      <c r="A47" s="44" t="s">
        <v>351</v>
      </c>
      <c r="B47" s="10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133"/>
      <c r="O47" s="133"/>
    </row>
    <row r="48" spans="1:15" ht="10.5">
      <c r="A48" s="117"/>
      <c r="B48" s="10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133"/>
      <c r="O48" s="133"/>
    </row>
    <row r="49" spans="1:15" ht="10.5" thickBot="1">
      <c r="A49" s="571" t="s">
        <v>35</v>
      </c>
      <c r="B49" s="573"/>
      <c r="C49" s="272">
        <f>+C42+C37</f>
        <v>6963043.03365</v>
      </c>
      <c r="D49" s="272">
        <f>+D42+D37</f>
        <v>10158036.501403334</v>
      </c>
      <c r="E49" s="272">
        <f aca="true" t="shared" si="6" ref="E49:M49">+E42+E37</f>
        <v>14930978.395667933</v>
      </c>
      <c r="F49" s="272">
        <f t="shared" si="6"/>
        <v>15618008.047758266</v>
      </c>
      <c r="G49" s="272">
        <f t="shared" si="6"/>
        <v>14773801.474612935</v>
      </c>
      <c r="H49" s="272">
        <f t="shared" si="6"/>
        <v>23858980.294306997</v>
      </c>
      <c r="I49" s="272" t="e">
        <f t="shared" si="6"/>
        <v>#DIV/0!</v>
      </c>
      <c r="J49" s="272" t="e">
        <f t="shared" si="6"/>
        <v>#DIV/0!</v>
      </c>
      <c r="K49" s="272" t="e">
        <f t="shared" si="6"/>
        <v>#DIV/0!</v>
      </c>
      <c r="L49" s="272" t="e">
        <f t="shared" si="6"/>
        <v>#DIV/0!</v>
      </c>
      <c r="M49" s="272" t="e">
        <f t="shared" si="6"/>
        <v>#DIV/0!</v>
      </c>
      <c r="N49" s="133"/>
      <c r="O49" s="133"/>
    </row>
    <row r="50" spans="1:15" ht="10.5" thickTop="1">
      <c r="A50" s="88"/>
      <c r="B50" s="88"/>
      <c r="C50" s="190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133"/>
      <c r="O50" s="133"/>
    </row>
    <row r="51" spans="1:15" ht="10.5" thickBot="1">
      <c r="A51" s="572" t="s">
        <v>133</v>
      </c>
      <c r="B51" s="572"/>
      <c r="C51" s="25">
        <f>+C49+C33</f>
        <v>17141818.0595</v>
      </c>
      <c r="D51" s="25">
        <f>+D49+D33</f>
        <v>47069278.31624333</v>
      </c>
      <c r="E51" s="25">
        <f aca="true" t="shared" si="7" ref="E51:M51">+E49+E33</f>
        <v>90168815.64722013</v>
      </c>
      <c r="F51" s="25">
        <f t="shared" si="7"/>
        <v>136131935.67484975</v>
      </c>
      <c r="G51" s="25">
        <f t="shared" si="7"/>
        <v>182213423.62226355</v>
      </c>
      <c r="H51" s="25">
        <f t="shared" si="7"/>
        <v>240143422.29611367</v>
      </c>
      <c r="I51" s="25" t="e">
        <f t="shared" si="7"/>
        <v>#DIV/0!</v>
      </c>
      <c r="J51" s="25" t="e">
        <f t="shared" si="7"/>
        <v>#DIV/0!</v>
      </c>
      <c r="K51" s="25" t="e">
        <f t="shared" si="7"/>
        <v>#DIV/0!</v>
      </c>
      <c r="L51" s="25" t="e">
        <f t="shared" si="7"/>
        <v>#DIV/0!</v>
      </c>
      <c r="M51" s="25" t="e">
        <f t="shared" si="7"/>
        <v>#DIV/0!</v>
      </c>
      <c r="N51" s="133"/>
      <c r="O51" s="133"/>
    </row>
    <row r="52" spans="3:13" ht="10.5" thickTop="1"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</row>
    <row r="53" spans="3:13" ht="10.5">
      <c r="C53" s="239">
        <f>+C23-C51</f>
        <v>0</v>
      </c>
      <c r="D53" s="239">
        <f>+D23-D51</f>
        <v>0</v>
      </c>
      <c r="E53" s="239">
        <f aca="true" t="shared" si="8" ref="E53:M53">+E23-E51</f>
        <v>0</v>
      </c>
      <c r="F53" s="239">
        <f t="shared" si="8"/>
        <v>0</v>
      </c>
      <c r="G53" s="239">
        <f t="shared" si="8"/>
        <v>0</v>
      </c>
      <c r="H53" s="239">
        <f t="shared" si="8"/>
        <v>119999.9999999702</v>
      </c>
      <c r="I53" s="239" t="e">
        <f t="shared" si="8"/>
        <v>#DIV/0!</v>
      </c>
      <c r="J53" s="239" t="e">
        <f t="shared" si="8"/>
        <v>#DIV/0!</v>
      </c>
      <c r="K53" s="239" t="e">
        <f t="shared" si="8"/>
        <v>#DIV/0!</v>
      </c>
      <c r="L53" s="239" t="e">
        <f t="shared" si="8"/>
        <v>#DIV/0!</v>
      </c>
      <c r="M53" s="239" t="e">
        <f t="shared" si="8"/>
        <v>#DIV/0!</v>
      </c>
    </row>
    <row r="54" spans="3:13" ht="10.5">
      <c r="C54" s="212"/>
      <c r="D54" s="214">
        <f>+D53-C53</f>
        <v>0</v>
      </c>
      <c r="E54" s="214"/>
      <c r="F54" s="214"/>
      <c r="G54" s="214"/>
      <c r="H54" s="214"/>
      <c r="I54" s="214"/>
      <c r="J54" s="214" t="e">
        <f>+J53-D53</f>
        <v>#DIV/0!</v>
      </c>
      <c r="K54" s="214" t="e">
        <f>+K53-J53</f>
        <v>#DIV/0!</v>
      </c>
      <c r="L54" s="214" t="e">
        <f>+L53-K53</f>
        <v>#DIV/0!</v>
      </c>
      <c r="M54" s="214" t="e">
        <f>+M53-L53</f>
        <v>#DIV/0!</v>
      </c>
    </row>
    <row r="55" spans="3:13" ht="10.5"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3:13" ht="10.5">
      <c r="C56" s="212"/>
      <c r="D56" s="213"/>
      <c r="E56" s="213"/>
      <c r="F56" s="213"/>
      <c r="G56" s="213"/>
      <c r="H56" s="213"/>
      <c r="I56" s="213"/>
      <c r="J56" s="215"/>
      <c r="K56" s="215"/>
      <c r="L56" s="212"/>
      <c r="M56" s="212"/>
    </row>
    <row r="57" spans="3:13" ht="10.5"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</row>
    <row r="58" spans="3:13" ht="10.5"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3:13" ht="10.5"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</row>
  </sheetData>
  <sheetProtection password="8318" sheet="1"/>
  <mergeCells count="8">
    <mergeCell ref="A51:B51"/>
    <mergeCell ref="A33:B33"/>
    <mergeCell ref="A4:M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8"/>
  <sheetViews>
    <sheetView showGridLines="0" zoomScalePageLayoutView="0" workbookViewId="0" topLeftCell="A5">
      <selection activeCell="R33" sqref="R33"/>
    </sheetView>
  </sheetViews>
  <sheetFormatPr defaultColWidth="9.140625" defaultRowHeight="12.75"/>
  <cols>
    <col min="1" max="1" width="28.28125" style="51" bestFit="1" customWidth="1"/>
    <col min="2" max="12" width="9.00390625" style="51" customWidth="1"/>
    <col min="13" max="16" width="11.421875" style="51" customWidth="1"/>
    <col min="17" max="16384" width="8.7109375" style="51" customWidth="1"/>
  </cols>
  <sheetData>
    <row r="1" spans="1:12" ht="12.75">
      <c r="A1" s="43"/>
      <c r="B1" s="43"/>
      <c r="C1" s="37"/>
      <c r="D1" s="37"/>
      <c r="E1" s="37"/>
      <c r="F1" s="37"/>
      <c r="G1" s="37"/>
      <c r="H1" s="37"/>
      <c r="I1" s="37"/>
      <c r="J1" s="37"/>
      <c r="K1" s="397" t="str">
        <f>+VN!L1</f>
        <v>Empresa:</v>
      </c>
      <c r="L1" s="407" t="str">
        <f>+Pressupostos!E1</f>
        <v>JUPITER</v>
      </c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>
      <c r="A4" s="562" t="s">
        <v>41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10.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0.5" thickBot="1">
      <c r="A6" s="301" t="s">
        <v>89</v>
      </c>
      <c r="B6" s="302">
        <f>+VN!C8</f>
        <v>2021</v>
      </c>
      <c r="C6" s="302">
        <f>+VN!D8</f>
        <v>2022</v>
      </c>
      <c r="D6" s="302">
        <f>+VN!E8</f>
        <v>2023</v>
      </c>
      <c r="E6" s="302">
        <f>+VN!F8</f>
        <v>2024</v>
      </c>
      <c r="F6" s="302">
        <f>+VN!G8</f>
        <v>2025</v>
      </c>
      <c r="G6" s="302">
        <f>+VN!H8</f>
        <v>2026</v>
      </c>
      <c r="H6" s="302">
        <f>+VN!I8</f>
        <v>2027</v>
      </c>
      <c r="I6" s="302">
        <f>+VN!J8</f>
        <v>2028</v>
      </c>
      <c r="J6" s="302">
        <f>+VN!K8</f>
        <v>2029</v>
      </c>
      <c r="K6" s="302">
        <f>+VN!L8</f>
        <v>2030</v>
      </c>
      <c r="L6" s="302">
        <f>+VN!M8</f>
        <v>2031</v>
      </c>
    </row>
    <row r="7" spans="1:12" ht="10.5">
      <c r="A7" s="307" t="s">
        <v>87</v>
      </c>
      <c r="B7" s="162"/>
      <c r="C7" s="162">
        <f>+('DR'!C8/'DR'!B8)-1</f>
        <v>1.0728587905140778</v>
      </c>
      <c r="D7" s="162">
        <f>+('DR'!D8/'DR'!C8)-1</f>
        <v>0.7694582129364724</v>
      </c>
      <c r="E7" s="162">
        <f>+('DR'!E8/'DR'!D8)-1</f>
        <v>0.1786622921154164</v>
      </c>
      <c r="F7" s="162">
        <f>+('DR'!F8/'DR'!E8)-1</f>
        <v>0.05109760962073806</v>
      </c>
      <c r="G7" s="162">
        <f>+('DR'!G8/'DR'!F8)-1</f>
        <v>0.05927096122778486</v>
      </c>
      <c r="H7" s="162">
        <f>+('DR'!H8/'DR'!G8)-1</f>
        <v>0.06918261800439685</v>
      </c>
      <c r="I7" s="162">
        <f>+('DR'!I8/'DR'!H8)-1</f>
        <v>0.07918588339630239</v>
      </c>
      <c r="J7" s="162">
        <f>+('DR'!J8/'DR'!I8)-1</f>
        <v>0.08912735334905175</v>
      </c>
      <c r="K7" s="162">
        <f>+('DR'!K8/'DR'!J8)-1</f>
        <v>0.09973078087250942</v>
      </c>
      <c r="L7" s="162">
        <f>+('DR'!L8/'DR'!K8)-1</f>
        <v>0.10843715412818455</v>
      </c>
    </row>
    <row r="8" spans="1:12" ht="10.5" thickBot="1">
      <c r="A8" s="307" t="s">
        <v>353</v>
      </c>
      <c r="B8" s="303">
        <f>'DR'!B31/'DR'!B8</f>
        <v>0.6203950427637464</v>
      </c>
      <c r="C8" s="303">
        <f>'DR'!C31/'DR'!C8</f>
        <v>0.6204559370992805</v>
      </c>
      <c r="D8" s="303">
        <f>'DR'!D31/'DR'!D8</f>
        <v>0.6276702941886015</v>
      </c>
      <c r="E8" s="303">
        <f>'DR'!E31/'DR'!E8</f>
        <v>0.6316741011634694</v>
      </c>
      <c r="F8" s="303">
        <f>'DR'!F31/'DR'!F8</f>
        <v>0.6233564966963439</v>
      </c>
      <c r="G8" s="303">
        <f>'DR'!G31/'DR'!G8</f>
        <v>0.6130679524047342</v>
      </c>
      <c r="H8" s="303">
        <f>'DR'!H31/'DR'!H8</f>
        <v>0.6174995323838084</v>
      </c>
      <c r="I8" s="303" t="e">
        <f>'DR'!I31/'DR'!I8</f>
        <v>#DIV/0!</v>
      </c>
      <c r="J8" s="303" t="e">
        <f>'DR'!J31/'DR'!J8</f>
        <v>#DIV/0!</v>
      </c>
      <c r="K8" s="303" t="e">
        <f>'DR'!K31/'DR'!K8</f>
        <v>#DIV/0!</v>
      </c>
      <c r="L8" s="303" t="e">
        <f>'DR'!L31/'DR'!L8</f>
        <v>#DIV/0!</v>
      </c>
    </row>
    <row r="9" spans="1:12" ht="10.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0.5" thickBot="1">
      <c r="A10" s="301" t="s">
        <v>88</v>
      </c>
      <c r="B10" s="302">
        <f>+B6</f>
        <v>2021</v>
      </c>
      <c r="C10" s="302">
        <f>+C6</f>
        <v>2022</v>
      </c>
      <c r="D10" s="302">
        <f aca="true" t="shared" si="0" ref="D10:L10">+D6</f>
        <v>2023</v>
      </c>
      <c r="E10" s="302">
        <f t="shared" si="0"/>
        <v>2024</v>
      </c>
      <c r="F10" s="302">
        <f t="shared" si="0"/>
        <v>2025</v>
      </c>
      <c r="G10" s="302">
        <f t="shared" si="0"/>
        <v>2026</v>
      </c>
      <c r="H10" s="302">
        <f t="shared" si="0"/>
        <v>2027</v>
      </c>
      <c r="I10" s="302">
        <f t="shared" si="0"/>
        <v>2028</v>
      </c>
      <c r="J10" s="302">
        <f t="shared" si="0"/>
        <v>2029</v>
      </c>
      <c r="K10" s="302">
        <f t="shared" si="0"/>
        <v>2030</v>
      </c>
      <c r="L10" s="302">
        <f t="shared" si="0"/>
        <v>2031</v>
      </c>
    </row>
    <row r="11" spans="1:12" ht="10.5">
      <c r="A11" s="307" t="s">
        <v>92</v>
      </c>
      <c r="B11" s="162">
        <f>'DR'!B31/Balanço!C23</f>
        <v>0.586797444176315</v>
      </c>
      <c r="C11" s="162">
        <f>'DR'!C31/Balanço!D23</f>
        <v>0.44301649685149164</v>
      </c>
      <c r="D11" s="162">
        <f>'DR'!D31/Balanço!E23</f>
        <v>0.4139634658477736</v>
      </c>
      <c r="E11" s="162">
        <f>'DR'!E31/Balanço!F23</f>
        <v>0.3252439639240307</v>
      </c>
      <c r="F11" s="162">
        <f>'DR'!F31/Balanço!G23</f>
        <v>0.25204342033419624</v>
      </c>
      <c r="G11" s="162">
        <f>'DR'!G31/Balanço!H23</f>
        <v>0.1991348470646086</v>
      </c>
      <c r="H11" s="162">
        <f>'DR'!H31/Balanço!I23</f>
        <v>1.6139008570172577</v>
      </c>
      <c r="I11" s="162" t="e">
        <f>'DR'!I31/Balanço!J23</f>
        <v>#DIV/0!</v>
      </c>
      <c r="J11" s="162" t="e">
        <f>'DR'!J31/Balanço!K23</f>
        <v>#DIV/0!</v>
      </c>
      <c r="K11" s="162" t="e">
        <f>'DR'!K31/Balanço!L23</f>
        <v>#DIV/0!</v>
      </c>
      <c r="L11" s="162" t="e">
        <f>'DR'!L31/Balanço!M23</f>
        <v>#DIV/0!</v>
      </c>
    </row>
    <row r="12" spans="1:12" ht="10.5">
      <c r="A12" s="307" t="s">
        <v>354</v>
      </c>
      <c r="B12" s="162">
        <f>+'DR'!B26/Balanço!C23</f>
        <v>0.7568384269374527</v>
      </c>
      <c r="C12" s="162">
        <f>+'DR'!C26/Balanço!D23</f>
        <v>0.5710189011273782</v>
      </c>
      <c r="D12" s="162">
        <f>+'DR'!D26/Balanço!E23</f>
        <v>0.5293490287143582</v>
      </c>
      <c r="E12" s="162">
        <f>+'DR'!E26/Balanço!F23</f>
        <v>0.4152413152684894</v>
      </c>
      <c r="F12" s="162">
        <f>+'DR'!F26/Balanço!G23</f>
        <v>0.320805511308175</v>
      </c>
      <c r="G12" s="162">
        <f>+'DR'!G26/Balanço!H23</f>
        <v>0.25273802614734875</v>
      </c>
      <c r="H12" s="162">
        <f>+'DR'!H26/Balanço!I23</f>
        <v>2.042912477237035</v>
      </c>
      <c r="I12" s="162">
        <f>+'DR'!I26/Balanço!J23</f>
        <v>2.075293482844443</v>
      </c>
      <c r="J12" s="162">
        <f>+'DR'!J26/Balanço!K23</f>
        <v>1.8947139156032193</v>
      </c>
      <c r="K12" s="162">
        <f>+'DR'!K26/Balanço!L23</f>
        <v>1.8428579014118416</v>
      </c>
      <c r="L12" s="162">
        <f>+'DR'!L26/Balanço!M23</f>
        <v>1.6123822629032352</v>
      </c>
    </row>
    <row r="13" spans="1:12" ht="10.5">
      <c r="A13" s="307" t="s">
        <v>355</v>
      </c>
      <c r="B13" s="162">
        <f>'DR'!B8/Balanço!C23</f>
        <v>0.9458448306779497</v>
      </c>
      <c r="C13" s="162">
        <f>'DR'!C8/Balanço!D23</f>
        <v>0.714017660823195</v>
      </c>
      <c r="D13" s="162">
        <f>'DR'!D8/Balanço!E23</f>
        <v>0.6595237494597544</v>
      </c>
      <c r="E13" s="162">
        <f>'DR'!E8/Balanço!F23</f>
        <v>0.514892035821905</v>
      </c>
      <c r="F13" s="162">
        <f>'DR'!F8/Balanço!G23</f>
        <v>0.4043327079608097</v>
      </c>
      <c r="G13" s="162">
        <f>'DR'!G8/Balanço!H23</f>
        <v>0.32481692491592523</v>
      </c>
      <c r="H13" s="162">
        <f>'DR'!H8/Balanço!I23</f>
        <v>2.613606605962794</v>
      </c>
      <c r="I13" s="162">
        <f>'DR'!I8/Balanço!J23</f>
        <v>2.6042523245304854</v>
      </c>
      <c r="J13" s="162">
        <f>'DR'!J8/Balanço!K23</f>
        <v>2.3550398616762096</v>
      </c>
      <c r="K13" s="162">
        <f>'DR'!K8/Balanço!L23</f>
        <v>2.2832894511879993</v>
      </c>
      <c r="L13" s="162">
        <f>'DR'!L8/Balanço!M23</f>
        <v>1.9791531764831418</v>
      </c>
    </row>
    <row r="14" spans="1:12" ht="10.5" thickBot="1">
      <c r="A14" s="307" t="s">
        <v>93</v>
      </c>
      <c r="B14" s="303">
        <f>+'DR'!B31/Balanço!C33</f>
        <v>0.9882107621304874</v>
      </c>
      <c r="C14" s="303">
        <f>+'DR'!C31/Balanço!D33</f>
        <v>0.5649353899712569</v>
      </c>
      <c r="D14" s="303">
        <f>+'DR'!D31/Balanço!E33</f>
        <v>0.49611467846840773</v>
      </c>
      <c r="E14" s="303">
        <f>+'DR'!E31/Balanço!F33</f>
        <v>0.3673939705337929</v>
      </c>
      <c r="F14" s="303">
        <f>+'DR'!F31/Balanço!G33</f>
        <v>0.2742821199158059</v>
      </c>
      <c r="G14" s="303">
        <f>+'DR'!G31/Balanço!H33</f>
        <v>0.22121248949453517</v>
      </c>
      <c r="H14" s="303">
        <f>+'DR'!H31/Balanço!I33</f>
        <v>0.19167740453346754</v>
      </c>
      <c r="I14" s="303" t="e">
        <f>+'DR'!I31/Balanço!J33</f>
        <v>#DIV/0!</v>
      </c>
      <c r="J14" s="303" t="e">
        <f>+'DR'!J31/Balanço!K33</f>
        <v>#DIV/0!</v>
      </c>
      <c r="K14" s="303" t="e">
        <f>+'DR'!K31/Balanço!L33</f>
        <v>#DIV/0!</v>
      </c>
      <c r="L14" s="303" t="e">
        <f>+'DR'!L31/Balanço!M33</f>
        <v>#DIV/0!</v>
      </c>
    </row>
    <row r="15" spans="1:12" ht="10.5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0.5" thickBot="1">
      <c r="A16" s="301" t="s">
        <v>90</v>
      </c>
      <c r="B16" s="305">
        <f>+B6</f>
        <v>2021</v>
      </c>
      <c r="C16" s="305">
        <f>+C6</f>
        <v>2022</v>
      </c>
      <c r="D16" s="305">
        <f aca="true" t="shared" si="1" ref="D16:L16">+D6</f>
        <v>2023</v>
      </c>
      <c r="E16" s="305">
        <f t="shared" si="1"/>
        <v>2024</v>
      </c>
      <c r="F16" s="305">
        <f t="shared" si="1"/>
        <v>2025</v>
      </c>
      <c r="G16" s="305">
        <f t="shared" si="1"/>
        <v>2026</v>
      </c>
      <c r="H16" s="305">
        <f t="shared" si="1"/>
        <v>2027</v>
      </c>
      <c r="I16" s="305">
        <f t="shared" si="1"/>
        <v>2028</v>
      </c>
      <c r="J16" s="305">
        <f t="shared" si="1"/>
        <v>2029</v>
      </c>
      <c r="K16" s="305">
        <f t="shared" si="1"/>
        <v>2030</v>
      </c>
      <c r="L16" s="305">
        <f t="shared" si="1"/>
        <v>2031</v>
      </c>
    </row>
    <row r="17" spans="1:12" ht="10.5">
      <c r="A17" s="307" t="s">
        <v>12</v>
      </c>
      <c r="B17" s="162">
        <f>Balanço!C33/Balanço!C23</f>
        <v>0.5937978684944051</v>
      </c>
      <c r="C17" s="162">
        <f>Balanço!D33/Balanço!D23</f>
        <v>0.7841896696789197</v>
      </c>
      <c r="D17" s="162">
        <f>Balanço!E33/Balanço!E23</f>
        <v>0.8344108405051647</v>
      </c>
      <c r="E17" s="162">
        <f>Balanço!F33/Balanço!F23</f>
        <v>0.8852730039403703</v>
      </c>
      <c r="F17" s="162">
        <f>Balanço!G33/Balanço!G23</f>
        <v>0.9189203452691846</v>
      </c>
      <c r="G17" s="162">
        <f>Balanço!H33/Balanço!H23</f>
        <v>0.9001971250340638</v>
      </c>
      <c r="H17" s="162">
        <f>Balanço!I33/Balanço!I23</f>
        <v>8.419880585014209</v>
      </c>
      <c r="I17" s="162" t="e">
        <f>Balanço!J33/Balanço!J23</f>
        <v>#DIV/0!</v>
      </c>
      <c r="J17" s="162" t="e">
        <f>Balanço!K33/Balanço!K23</f>
        <v>#DIV/0!</v>
      </c>
      <c r="K17" s="162" t="e">
        <f>Balanço!L33/Balanço!L23</f>
        <v>#DIV/0!</v>
      </c>
      <c r="L17" s="162" t="e">
        <f>Balanço!M33/Balanço!M23</f>
        <v>#DIV/0!</v>
      </c>
    </row>
    <row r="18" spans="1:12" ht="10.5">
      <c r="A18" s="307" t="s">
        <v>9</v>
      </c>
      <c r="B18" s="162">
        <f>Balanço!C23/Balanço!C49</f>
        <v>2.4618285391400674</v>
      </c>
      <c r="C18" s="162">
        <f>Balanço!D23/Balanço!D49</f>
        <v>4.63369848195965</v>
      </c>
      <c r="D18" s="162">
        <f>Balanço!E23/Balanço!E49</f>
        <v>6.039042670732259</v>
      </c>
      <c r="E18" s="162">
        <f>Balanço!F23/Balanço!F49</f>
        <v>8.716344316033918</v>
      </c>
      <c r="F18" s="162">
        <f>Balanço!G23/Balanço!G49</f>
        <v>12.333550300873895</v>
      </c>
      <c r="G18" s="162">
        <f>Balanço!H23/Balanço!H49</f>
        <v>10.07014630685801</v>
      </c>
      <c r="H18" s="162" t="e">
        <f>Balanço!I23/Balanço!I49</f>
        <v>#DIV/0!</v>
      </c>
      <c r="I18" s="162" t="e">
        <f>Balanço!J23/Balanço!J49</f>
        <v>#DIV/0!</v>
      </c>
      <c r="J18" s="162" t="e">
        <f>Balanço!K23/Balanço!K49</f>
        <v>#DIV/0!</v>
      </c>
      <c r="K18" s="162" t="e">
        <f>Balanço!L23/Balanço!L49</f>
        <v>#DIV/0!</v>
      </c>
      <c r="L18" s="162" t="e">
        <f>Balanço!M23/Balanço!M49</f>
        <v>#DIV/0!</v>
      </c>
    </row>
    <row r="19" spans="1:12" ht="10.5" thickBot="1">
      <c r="A19" s="307" t="s">
        <v>356</v>
      </c>
      <c r="B19" s="306">
        <f>+'DR'!B26/'DR'!B28</f>
        <v>53.8412459121846</v>
      </c>
      <c r="C19" s="306">
        <f>+'DR'!C26/'DR'!C28</f>
        <v>55.77159607611222</v>
      </c>
      <c r="D19" s="306">
        <f>+'DR'!D26/'DR'!D28</f>
        <v>99.04294277718294</v>
      </c>
      <c r="E19" s="306">
        <f>+'DR'!E26/'DR'!E28</f>
        <v>117.29665508729666</v>
      </c>
      <c r="F19" s="306">
        <f>+'DR'!F26/'DR'!F28</f>
        <v>181.94431814104004</v>
      </c>
      <c r="G19" s="306">
        <f>+'DR'!G26/'DR'!G28</f>
        <v>378.01110001572863</v>
      </c>
      <c r="H19" s="306" t="e">
        <f>+'DR'!H26/'DR'!H28</f>
        <v>#DIV/0!</v>
      </c>
      <c r="I19" s="306" t="e">
        <f>+'DR'!I26/'DR'!I28</f>
        <v>#DIV/0!</v>
      </c>
      <c r="J19" s="306" t="e">
        <f>+'DR'!J26/'DR'!J28</f>
        <v>#DIV/0!</v>
      </c>
      <c r="K19" s="306" t="e">
        <f>+'DR'!K26/'DR'!K28</f>
        <v>#DIV/0!</v>
      </c>
      <c r="L19" s="306" t="e">
        <f>+'DR'!L26/'DR'!L28</f>
        <v>#DIV/0!</v>
      </c>
    </row>
    <row r="20" spans="1:12" ht="10.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0.5" thickBot="1">
      <c r="A21" s="301" t="s">
        <v>91</v>
      </c>
      <c r="B21" s="302">
        <f>+B6</f>
        <v>2021</v>
      </c>
      <c r="C21" s="302">
        <f>+C6</f>
        <v>2022</v>
      </c>
      <c r="D21" s="302">
        <f aca="true" t="shared" si="2" ref="D21:L21">+D6</f>
        <v>2023</v>
      </c>
      <c r="E21" s="302">
        <f t="shared" si="2"/>
        <v>2024</v>
      </c>
      <c r="F21" s="302">
        <f t="shared" si="2"/>
        <v>2025</v>
      </c>
      <c r="G21" s="302">
        <f t="shared" si="2"/>
        <v>2026</v>
      </c>
      <c r="H21" s="302">
        <f t="shared" si="2"/>
        <v>2027</v>
      </c>
      <c r="I21" s="302">
        <f t="shared" si="2"/>
        <v>2028</v>
      </c>
      <c r="J21" s="302">
        <f t="shared" si="2"/>
        <v>2029</v>
      </c>
      <c r="K21" s="302">
        <f t="shared" si="2"/>
        <v>2030</v>
      </c>
      <c r="L21" s="302">
        <f t="shared" si="2"/>
        <v>2031</v>
      </c>
    </row>
    <row r="22" spans="1:12" ht="10.5">
      <c r="A22" s="307" t="s">
        <v>211</v>
      </c>
      <c r="B22" s="300">
        <f>Balanço!C15/Balanço!C42</f>
        <v>4.868919518097058</v>
      </c>
      <c r="C22" s="300">
        <f>Balanço!D15/Balanço!D42</f>
        <v>6.643234139148195</v>
      </c>
      <c r="D22" s="300">
        <f>Balanço!E15/Balanço!E42</f>
        <v>7.278628935791479</v>
      </c>
      <c r="E22" s="300">
        <f>Balanço!F15/Balanço!F42</f>
        <v>9.50254124677214</v>
      </c>
      <c r="F22" s="300">
        <f>Balanço!G15/Balanço!G42</f>
        <v>12.403664140753543</v>
      </c>
      <c r="G22" s="300">
        <f>Balanço!H15/Balanço!H42</f>
        <v>15.751105292052744</v>
      </c>
      <c r="H22" s="300">
        <f>Balanço!I15/Balanço!I42</f>
        <v>0.5069394813116851</v>
      </c>
      <c r="I22" s="300" t="e">
        <f>Balanço!J15/Balanço!J42</f>
        <v>#DIV/0!</v>
      </c>
      <c r="J22" s="300" t="e">
        <f>Balanço!K15/Balanço!K42</f>
        <v>#DIV/0!</v>
      </c>
      <c r="K22" s="300" t="e">
        <f>Balanço!L15/Balanço!L42</f>
        <v>#DIV/0!</v>
      </c>
      <c r="L22" s="300" t="e">
        <f>Balanço!M15/Balanço!M42</f>
        <v>#DIV/0!</v>
      </c>
    </row>
    <row r="23" spans="1:12" ht="10.5" thickBot="1">
      <c r="A23" s="307" t="s">
        <v>10</v>
      </c>
      <c r="B23" s="304">
        <f>(Balanço!C17+Balanço!C18+Balanço!C19+Balanço!C20+Balanço!C21+Balanço!C22)/Balanço!C42</f>
        <v>4.832863688402139</v>
      </c>
      <c r="C23" s="304">
        <f>(Balanço!D17+Balanço!D18+Balanço!D19+Balanço!D20+Balanço!D21+Balanço!D22)/Balanço!D42</f>
        <v>6.607523833376776</v>
      </c>
      <c r="D23" s="304">
        <f>(Balanço!E17+Balanço!E18+Balanço!E19+Balanço!E20+Balanço!E21+Balanço!E22)/Balanço!E42</f>
        <v>7.2414245628215035</v>
      </c>
      <c r="E23" s="304">
        <f>(Balanço!F17+Balanço!F18+Balanço!F19+Balanço!F20+Balanço!F21+Balanço!F22)/Balanço!F42</f>
        <v>9.465259813024769</v>
      </c>
      <c r="F23" s="304">
        <f>(Balanço!G17+Balanço!G18+Balanço!G19+Balanço!G20+Balanço!G21+Balanço!G22)/Balanço!G42</f>
        <v>12.365943816152244</v>
      </c>
      <c r="G23" s="304">
        <f>(Balanço!H17+Balanço!H18+Balanço!H19+Balanço!H20+Balanço!H21+Balanço!H22)/Balanço!H42</f>
        <v>15.71232976981838</v>
      </c>
      <c r="H23" s="304">
        <f>(Balanço!I17+Balanço!I18+Balanço!I19+Balanço!I20+Balanço!I21+Balanço!I22)/Balanço!I42</f>
        <v>0.4687953190249046</v>
      </c>
      <c r="I23" s="304" t="e">
        <f>(Balanço!J17+Balanço!J18+Balanço!J19+Balanço!J20+Balanço!J21+Balanço!J22)/Balanço!J42</f>
        <v>#DIV/0!</v>
      </c>
      <c r="J23" s="304" t="e">
        <f>(Balanço!K17+Balanço!K18+Balanço!K19+Balanço!K20+Balanço!K21+Balanço!K22)/Balanço!K42</f>
        <v>#DIV/0!</v>
      </c>
      <c r="K23" s="304" t="e">
        <f>(Balanço!L17+Balanço!L18+Balanço!L19+Balanço!L20+Balanço!L21+Balanço!L22)/Balanço!L42</f>
        <v>#DIV/0!</v>
      </c>
      <c r="L23" s="304" t="e">
        <f>(Balanço!M17+Balanço!M18+Balanço!M19+Balanço!M20+Balanço!M21+Balanço!M22)/Balanço!M42</f>
        <v>#DIV/0!</v>
      </c>
    </row>
    <row r="24" spans="1:12" ht="10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0.5" thickBot="1">
      <c r="A25" s="301" t="s">
        <v>94</v>
      </c>
      <c r="B25" s="302">
        <f>+B6</f>
        <v>2021</v>
      </c>
      <c r="C25" s="302">
        <f>+C6</f>
        <v>2022</v>
      </c>
      <c r="D25" s="302">
        <f aca="true" t="shared" si="3" ref="D25:L25">+D6</f>
        <v>2023</v>
      </c>
      <c r="E25" s="302">
        <f t="shared" si="3"/>
        <v>2024</v>
      </c>
      <c r="F25" s="302">
        <f t="shared" si="3"/>
        <v>2025</v>
      </c>
      <c r="G25" s="302">
        <f t="shared" si="3"/>
        <v>2026</v>
      </c>
      <c r="H25" s="302">
        <f t="shared" si="3"/>
        <v>2027</v>
      </c>
      <c r="I25" s="302">
        <f t="shared" si="3"/>
        <v>2028</v>
      </c>
      <c r="J25" s="302">
        <f t="shared" si="3"/>
        <v>2029</v>
      </c>
      <c r="K25" s="302">
        <f t="shared" si="3"/>
        <v>2030</v>
      </c>
      <c r="L25" s="302">
        <f t="shared" si="3"/>
        <v>2031</v>
      </c>
    </row>
    <row r="26" spans="1:12" ht="10.5">
      <c r="A26" s="307" t="s">
        <v>47</v>
      </c>
      <c r="B26" s="201">
        <f>'DR'!B8-'DR'!B11-'DR'!B13-'DR'!B14</f>
        <v>13593960.6</v>
      </c>
      <c r="C26" s="201">
        <f>'DR'!C8-'DR'!C11-'DR'!C13-'DR'!C14</f>
        <v>28219567.206</v>
      </c>
      <c r="D26" s="201">
        <f>'DR'!D8-'DR'!D11-'DR'!D13-'DR'!D14</f>
        <v>49597150.64818</v>
      </c>
      <c r="E26" s="201">
        <f>'DR'!E8-'DR'!E11-'DR'!E13-'DR'!E14</f>
        <v>58393979.68467</v>
      </c>
      <c r="F26" s="201">
        <f>'DR'!F8-'DR'!F11-'DR'!F13-'DR'!F14</f>
        <v>61396355.294020005</v>
      </c>
      <c r="G26" s="201">
        <f>'DR'!G8-'DR'!G11-'DR'!G13-'DR'!G14</f>
        <v>65033285.23485999</v>
      </c>
      <c r="H26" s="201">
        <f>'DR'!H8-'DR'!H11-'DR'!H13-'DR'!H14</f>
        <v>69529825.30143999</v>
      </c>
      <c r="I26" s="201">
        <f>'DR'!I8-'DR'!I11-'DR'!I13-'DR'!I14</f>
        <v>75033243.36099</v>
      </c>
      <c r="J26" s="201">
        <f>'DR'!J8-'DR'!J11-'DR'!J13-'DR'!J14</f>
        <v>81717789.54549</v>
      </c>
      <c r="K26" s="201">
        <f>'DR'!K8-'DR'!K11-'DR'!K13-'DR'!K14</f>
        <v>89863397.28338</v>
      </c>
      <c r="L26" s="201">
        <f>'DR'!L8-'DR'!L11-'DR'!L13-'DR'!L14</f>
        <v>99604240.40110001</v>
      </c>
    </row>
    <row r="27" spans="1:12" ht="10.5">
      <c r="A27" s="307" t="s">
        <v>134</v>
      </c>
      <c r="B27" s="162">
        <f>+B26/'DR'!B26</f>
        <v>1.0478182327994578</v>
      </c>
      <c r="C27" s="162">
        <f>+C26/'DR'!C26</f>
        <v>1.0499347871837637</v>
      </c>
      <c r="D27" s="162">
        <f>+D26/'DR'!D26</f>
        <v>1.0391021445945032</v>
      </c>
      <c r="E27" s="162">
        <f>+E26/'DR'!E26</f>
        <v>1.0330170665707068</v>
      </c>
      <c r="F27" s="162">
        <f>+F26/'DR'!F26</f>
        <v>1.0503170167254994</v>
      </c>
      <c r="G27" s="162">
        <f>+G26/'DR'!G26</f>
        <v>1.0709703444925467</v>
      </c>
      <c r="H27" s="162">
        <f>+H26/'DR'!H26</f>
        <v>1.0660642933431341</v>
      </c>
      <c r="I27" s="162">
        <f>+I26/'DR'!I26</f>
        <v>1.0456414795030007</v>
      </c>
      <c r="J27" s="162">
        <f>+J26/'DR'!J26</f>
        <v>1.0356621580393723</v>
      </c>
      <c r="K27" s="162">
        <f>+K26/'DR'!K26</f>
        <v>1.032315511450173</v>
      </c>
      <c r="L27" s="162">
        <f>+L26/'DR'!L26</f>
        <v>1.0226773741800723</v>
      </c>
    </row>
    <row r="28" spans="1:12" ht="10.5" thickBot="1">
      <c r="A28" s="307" t="s">
        <v>212</v>
      </c>
      <c r="B28" s="303">
        <f>+'DR'!B26/'DR'!B29</f>
        <v>1.0189246105525571</v>
      </c>
      <c r="C28" s="303">
        <f>+'DR'!C26/'DR'!C29</f>
        <v>1.018257638477622</v>
      </c>
      <c r="D28" s="303">
        <f>+'DR'!D26/'DR'!D29</f>
        <v>1.0101996122482029</v>
      </c>
      <c r="E28" s="303">
        <f>+'DR'!E26/'DR'!E29</f>
        <v>1.00859869958641</v>
      </c>
      <c r="F28" s="303">
        <f>+'DR'!F26/'DR'!F29</f>
        <v>1.0055265620400444</v>
      </c>
      <c r="G28" s="303">
        <f>+'DR'!G26/'DR'!G29</f>
        <v>1.002652441798022</v>
      </c>
      <c r="H28" s="303">
        <f>+'DR'!H26/'DR'!H29</f>
        <v>1</v>
      </c>
      <c r="I28" s="303" t="e">
        <f>+'DR'!I26/'DR'!I29</f>
        <v>#DIV/0!</v>
      </c>
      <c r="J28" s="303" t="e">
        <f>+'DR'!J26/'DR'!J29</f>
        <v>#DIV/0!</v>
      </c>
      <c r="K28" s="303" t="e">
        <f>+'DR'!K26/'DR'!K29</f>
        <v>#DIV/0!</v>
      </c>
      <c r="L28" s="303" t="e">
        <f>+'DR'!L26/'DR'!L29</f>
        <v>#DIV/0!</v>
      </c>
    </row>
  </sheetData>
  <sheetProtection password="8318" sheet="1"/>
  <mergeCells count="1">
    <mergeCell ref="A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K98"/>
  <sheetViews>
    <sheetView showGridLines="0" zoomScalePageLayoutView="0" workbookViewId="0" topLeftCell="A66">
      <selection activeCell="C23" sqref="C23"/>
    </sheetView>
  </sheetViews>
  <sheetFormatPr defaultColWidth="9.140625" defaultRowHeight="12.75"/>
  <cols>
    <col min="1" max="1" width="40.28125" style="51" customWidth="1"/>
    <col min="2" max="2" width="10.00390625" style="51" customWidth="1"/>
    <col min="3" max="3" width="7.57421875" style="51" customWidth="1"/>
    <col min="4" max="4" width="9.421875" style="51" customWidth="1"/>
    <col min="5" max="13" width="7.57421875" style="51" customWidth="1"/>
    <col min="14" max="14" width="7.28125" style="51" customWidth="1"/>
    <col min="15" max="15" width="8.7109375" style="51" customWidth="1"/>
    <col min="16" max="16" width="11.8515625" style="51" customWidth="1"/>
    <col min="17" max="18" width="8.7109375" style="51" customWidth="1"/>
    <col min="19" max="19" width="10.421875" style="51" customWidth="1"/>
    <col min="20" max="20" width="13.140625" style="51" customWidth="1"/>
    <col min="21" max="16384" width="8.7109375" style="51" customWidth="1"/>
  </cols>
  <sheetData>
    <row r="1" spans="1:15" ht="12.75">
      <c r="A1" s="43"/>
      <c r="B1" s="43"/>
      <c r="C1" s="37"/>
      <c r="D1" s="37"/>
      <c r="E1" s="37"/>
      <c r="F1" s="37"/>
      <c r="G1" s="37"/>
      <c r="H1" s="37"/>
      <c r="I1" s="37"/>
      <c r="J1" s="37"/>
      <c r="K1" s="37"/>
      <c r="L1" s="37"/>
      <c r="M1" s="397" t="str">
        <f>+VN!L1</f>
        <v>Empresa:</v>
      </c>
      <c r="N1" s="398" t="str">
        <f>+Pressupostos!E1</f>
        <v>JUPITER</v>
      </c>
      <c r="O1" s="216"/>
    </row>
    <row r="2" spans="1:14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>
      <c r="A4" s="562" t="s">
        <v>362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9" ht="13.5" customHeight="1">
      <c r="A7" s="630" t="s">
        <v>389</v>
      </c>
      <c r="B7" s="631"/>
      <c r="C7" s="40">
        <f aca="true" t="shared" si="0" ref="C7:M7">+C28</f>
        <v>2021</v>
      </c>
      <c r="D7" s="40">
        <f t="shared" si="0"/>
        <v>2022</v>
      </c>
      <c r="E7" s="40">
        <f t="shared" si="0"/>
        <v>2023</v>
      </c>
      <c r="F7" s="40">
        <f t="shared" si="0"/>
        <v>2024</v>
      </c>
      <c r="G7" s="40">
        <f t="shared" si="0"/>
        <v>2025</v>
      </c>
      <c r="H7" s="40">
        <f t="shared" si="0"/>
        <v>2026</v>
      </c>
      <c r="I7" s="40">
        <f t="shared" si="0"/>
        <v>2027</v>
      </c>
      <c r="J7" s="40">
        <f t="shared" si="0"/>
        <v>2028</v>
      </c>
      <c r="K7" s="40">
        <f t="shared" si="0"/>
        <v>2029</v>
      </c>
      <c r="L7" s="40">
        <f t="shared" si="0"/>
        <v>2030</v>
      </c>
      <c r="M7" s="40">
        <f t="shared" si="0"/>
        <v>2031</v>
      </c>
      <c r="N7" s="475" t="s">
        <v>415</v>
      </c>
      <c r="P7" s="325"/>
      <c r="Q7" s="325" t="s">
        <v>0</v>
      </c>
      <c r="R7" s="325" t="s">
        <v>1</v>
      </c>
      <c r="S7" s="325"/>
    </row>
    <row r="8" spans="1:19" ht="12.75">
      <c r="A8" s="116"/>
      <c r="B8" s="1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624" t="s">
        <v>417</v>
      </c>
      <c r="P8" s="325" t="s">
        <v>16</v>
      </c>
      <c r="Q8" s="326">
        <f>+C15</f>
        <v>6292611.39535</v>
      </c>
      <c r="R8" s="326">
        <f>+Q8</f>
        <v>6292611.39535</v>
      </c>
      <c r="S8" s="327">
        <f aca="true" t="shared" si="1" ref="S8:S13">IF(R8&gt;0,R8/Q8*12)</f>
        <v>12</v>
      </c>
    </row>
    <row r="9" spans="1:19" ht="12.75">
      <c r="A9" s="52" t="s">
        <v>95</v>
      </c>
      <c r="B9" s="218"/>
      <c r="C9" s="218">
        <f>+'Cash Flow'!C21</f>
        <v>6292611.39535</v>
      </c>
      <c r="D9" s="218">
        <f>+'Cash Flow'!D21</f>
        <v>16526574.607466668</v>
      </c>
      <c r="E9" s="218">
        <f>+'Cash Flow'!E21</f>
        <v>31307378.1588765</v>
      </c>
      <c r="F9" s="218">
        <f>+'Cash Flow'!F21</f>
        <v>41410976.22535382</v>
      </c>
      <c r="G9" s="218">
        <f>+'Cash Flow'!G21</f>
        <v>43464356.90580656</v>
      </c>
      <c r="H9" s="218">
        <f>+'Cash Flow'!H21</f>
        <v>41040269.13718453</v>
      </c>
      <c r="I9" s="218">
        <f>+'Cash Flow'!I21</f>
        <v>49052494.50843835</v>
      </c>
      <c r="J9" s="218">
        <f>+'Cash Flow'!J21</f>
        <v>54143602.54382518</v>
      </c>
      <c r="K9" s="218">
        <f>+'Cash Flow'!K21</f>
        <v>55388936.76042292</v>
      </c>
      <c r="L9" s="218">
        <f>+'Cash Flow'!L21</f>
        <v>63453402.10670124</v>
      </c>
      <c r="M9" s="218">
        <f>+'Cash Flow'!M21</f>
        <v>63733668.320869744</v>
      </c>
      <c r="N9" s="338">
        <f>+S20</f>
        <v>58683254.10215717</v>
      </c>
      <c r="O9" s="624"/>
      <c r="P9" s="325" t="s">
        <v>17</v>
      </c>
      <c r="Q9" s="326">
        <f>+D15</f>
        <v>16526574.607466668</v>
      </c>
      <c r="R9" s="326">
        <f aca="true" t="shared" si="2" ref="R9:R15">+R8+Q9</f>
        <v>22819186.00281667</v>
      </c>
      <c r="S9" s="328">
        <f t="shared" si="1"/>
        <v>16.569085762640988</v>
      </c>
    </row>
    <row r="10" spans="1:19" ht="12.75">
      <c r="A10" s="478" t="s">
        <v>419</v>
      </c>
      <c r="B10" s="529"/>
      <c r="C10" s="529">
        <f>+C9</f>
        <v>6292611.39535</v>
      </c>
      <c r="D10" s="529">
        <f aca="true" t="shared" si="3" ref="D10:L10">+D9</f>
        <v>16526574.607466668</v>
      </c>
      <c r="E10" s="529">
        <f t="shared" si="3"/>
        <v>31307378.1588765</v>
      </c>
      <c r="F10" s="529">
        <f t="shared" si="3"/>
        <v>41410976.22535382</v>
      </c>
      <c r="G10" s="529">
        <f t="shared" si="3"/>
        <v>43464356.90580656</v>
      </c>
      <c r="H10" s="529">
        <f t="shared" si="3"/>
        <v>41040269.13718453</v>
      </c>
      <c r="I10" s="529">
        <f t="shared" si="3"/>
        <v>49052494.50843835</v>
      </c>
      <c r="J10" s="529">
        <f t="shared" si="3"/>
        <v>54143602.54382518</v>
      </c>
      <c r="K10" s="529">
        <f t="shared" si="3"/>
        <v>55388936.76042292</v>
      </c>
      <c r="L10" s="529">
        <f t="shared" si="3"/>
        <v>63453402.10670124</v>
      </c>
      <c r="M10" s="529">
        <f>+M9+N9</f>
        <v>122416922.42302692</v>
      </c>
      <c r="N10" s="220"/>
      <c r="O10" s="624"/>
      <c r="P10" s="325" t="s">
        <v>18</v>
      </c>
      <c r="Q10" s="326">
        <f>+E15</f>
        <v>31307378.1588765</v>
      </c>
      <c r="R10" s="326">
        <f t="shared" si="2"/>
        <v>54126564.16169317</v>
      </c>
      <c r="S10" s="328">
        <f t="shared" si="1"/>
        <v>20.746507952348658</v>
      </c>
    </row>
    <row r="11" spans="1:19" ht="12.75">
      <c r="A11" s="46"/>
      <c r="B11" s="46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528"/>
      <c r="P11" s="325" t="s">
        <v>19</v>
      </c>
      <c r="Q11" s="326">
        <f>+F$15</f>
        <v>41410976.22535382</v>
      </c>
      <c r="R11" s="326">
        <f t="shared" si="2"/>
        <v>95537540.387047</v>
      </c>
      <c r="S11" s="329">
        <f t="shared" si="1"/>
        <v>27.684700751938585</v>
      </c>
    </row>
    <row r="12" spans="1:19" ht="12.75">
      <c r="A12" s="108" t="s">
        <v>369</v>
      </c>
      <c r="B12" s="221"/>
      <c r="C12" s="222">
        <f>+C72</f>
        <v>0</v>
      </c>
      <c r="D12" s="222">
        <f aca="true" t="shared" si="4" ref="D12:M12">+D72</f>
        <v>0</v>
      </c>
      <c r="E12" s="222">
        <f t="shared" si="4"/>
        <v>0</v>
      </c>
      <c r="F12" s="222">
        <f t="shared" si="4"/>
        <v>0</v>
      </c>
      <c r="G12" s="222">
        <f t="shared" si="4"/>
        <v>0</v>
      </c>
      <c r="H12" s="222">
        <f t="shared" si="4"/>
        <v>0</v>
      </c>
      <c r="I12" s="222">
        <f t="shared" si="4"/>
        <v>0</v>
      </c>
      <c r="J12" s="222">
        <f t="shared" si="4"/>
        <v>0</v>
      </c>
      <c r="K12" s="222">
        <f t="shared" si="4"/>
        <v>0</v>
      </c>
      <c r="L12" s="222">
        <f t="shared" si="4"/>
        <v>0</v>
      </c>
      <c r="M12" s="222">
        <f t="shared" si="4"/>
        <v>0</v>
      </c>
      <c r="N12" s="220"/>
      <c r="P12" s="325" t="s">
        <v>20</v>
      </c>
      <c r="Q12" s="326">
        <f>+G$15</f>
        <v>43464356.90580656</v>
      </c>
      <c r="R12" s="326">
        <f t="shared" si="2"/>
        <v>139001897.29285353</v>
      </c>
      <c r="S12" s="329">
        <f t="shared" si="1"/>
        <v>38.37679621325319</v>
      </c>
    </row>
    <row r="13" spans="1:19" ht="12.75">
      <c r="A13" s="165" t="s">
        <v>357</v>
      </c>
      <c r="B13" s="223"/>
      <c r="C13" s="332">
        <v>1</v>
      </c>
      <c r="D13" s="225">
        <f>+C13*(1+D12)</f>
        <v>1</v>
      </c>
      <c r="E13" s="225">
        <f>+D13*(1+E12)</f>
        <v>1</v>
      </c>
      <c r="F13" s="225">
        <f aca="true" t="shared" si="5" ref="F13:M13">+E13*(1+F12)</f>
        <v>1</v>
      </c>
      <c r="G13" s="225">
        <f t="shared" si="5"/>
        <v>1</v>
      </c>
      <c r="H13" s="225">
        <f t="shared" si="5"/>
        <v>1</v>
      </c>
      <c r="I13" s="225">
        <f t="shared" si="5"/>
        <v>1</v>
      </c>
      <c r="J13" s="225">
        <f t="shared" si="5"/>
        <v>1</v>
      </c>
      <c r="K13" s="225">
        <f t="shared" si="5"/>
        <v>1</v>
      </c>
      <c r="L13" s="225">
        <f t="shared" si="5"/>
        <v>1</v>
      </c>
      <c r="M13" s="225">
        <f t="shared" si="5"/>
        <v>1</v>
      </c>
      <c r="N13" s="220"/>
      <c r="P13" s="325" t="s">
        <v>21</v>
      </c>
      <c r="Q13" s="326">
        <f>+H$15</f>
        <v>41040269.13718453</v>
      </c>
      <c r="R13" s="326">
        <f t="shared" si="2"/>
        <v>180042166.43003806</v>
      </c>
      <c r="S13" s="329">
        <f t="shared" si="1"/>
        <v>52.64356308041194</v>
      </c>
    </row>
    <row r="14" spans="1:19" ht="12.7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P14" s="325" t="s">
        <v>96</v>
      </c>
      <c r="Q14" s="326">
        <f>+I$15</f>
        <v>49052494.50843835</v>
      </c>
      <c r="R14" s="326">
        <f t="shared" si="2"/>
        <v>229094660.9384764</v>
      </c>
      <c r="S14" s="329">
        <f>IF(R14&gt;0,R14/Q14*12)</f>
        <v>56.04477323347525</v>
      </c>
    </row>
    <row r="15" spans="1:19" ht="12.75">
      <c r="A15" s="52" t="s">
        <v>358</v>
      </c>
      <c r="B15" s="60"/>
      <c r="C15" s="218">
        <f>+C10/C13</f>
        <v>6292611.39535</v>
      </c>
      <c r="D15" s="218">
        <f aca="true" t="shared" si="6" ref="D15:M15">+D10/D13</f>
        <v>16526574.607466668</v>
      </c>
      <c r="E15" s="218">
        <f t="shared" si="6"/>
        <v>31307378.1588765</v>
      </c>
      <c r="F15" s="218">
        <f t="shared" si="6"/>
        <v>41410976.22535382</v>
      </c>
      <c r="G15" s="218">
        <f t="shared" si="6"/>
        <v>43464356.90580656</v>
      </c>
      <c r="H15" s="218">
        <f t="shared" si="6"/>
        <v>41040269.13718453</v>
      </c>
      <c r="I15" s="218">
        <f t="shared" si="6"/>
        <v>49052494.50843835</v>
      </c>
      <c r="J15" s="218">
        <f t="shared" si="6"/>
        <v>54143602.54382518</v>
      </c>
      <c r="K15" s="218">
        <f t="shared" si="6"/>
        <v>55388936.76042292</v>
      </c>
      <c r="L15" s="218">
        <f t="shared" si="6"/>
        <v>63453402.10670124</v>
      </c>
      <c r="M15" s="218">
        <f t="shared" si="6"/>
        <v>122416922.42302692</v>
      </c>
      <c r="N15" s="220"/>
      <c r="P15" s="325" t="s">
        <v>374</v>
      </c>
      <c r="Q15" s="326">
        <f>+J$15</f>
        <v>54143602.54382518</v>
      </c>
      <c r="R15" s="326">
        <f t="shared" si="2"/>
        <v>283238263.4823016</v>
      </c>
      <c r="S15" s="329">
        <f>IF(R15&gt;0,R15/Q15*12)</f>
        <v>62.77489864174623</v>
      </c>
    </row>
    <row r="16" spans="1:14" ht="12.75">
      <c r="A16" s="43"/>
      <c r="B16" s="116"/>
      <c r="C16" s="22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20"/>
    </row>
    <row r="17" spans="1:19" ht="12.75">
      <c r="A17" s="52" t="s">
        <v>359</v>
      </c>
      <c r="B17" s="60"/>
      <c r="C17" s="218">
        <f>+C15</f>
        <v>6292611.39535</v>
      </c>
      <c r="D17" s="218">
        <f>+C17+D15</f>
        <v>22819186.00281667</v>
      </c>
      <c r="E17" s="218">
        <f>+D17+E15</f>
        <v>54126564.16169317</v>
      </c>
      <c r="F17" s="218">
        <f aca="true" t="shared" si="7" ref="F17:L17">+E17+F15</f>
        <v>95537540.387047</v>
      </c>
      <c r="G17" s="218">
        <f t="shared" si="7"/>
        <v>139001897.29285353</v>
      </c>
      <c r="H17" s="218">
        <f t="shared" si="7"/>
        <v>180042166.43003806</v>
      </c>
      <c r="I17" s="218">
        <f t="shared" si="7"/>
        <v>229094660.9384764</v>
      </c>
      <c r="J17" s="218">
        <f t="shared" si="7"/>
        <v>283238263.4823016</v>
      </c>
      <c r="K17" s="218">
        <f t="shared" si="7"/>
        <v>338627200.24272454</v>
      </c>
      <c r="L17" s="218">
        <f t="shared" si="7"/>
        <v>402080602.3494258</v>
      </c>
      <c r="M17" s="218">
        <f>+L17+M15+N15</f>
        <v>524497524.7724527</v>
      </c>
      <c r="N17" s="220"/>
      <c r="P17" s="525" t="s">
        <v>221</v>
      </c>
      <c r="Q17" s="526"/>
      <c r="R17" s="58"/>
      <c r="S17" s="58"/>
    </row>
    <row r="18" spans="1:19" ht="13.5">
      <c r="A18" s="43"/>
      <c r="B18" s="116"/>
      <c r="C18" s="227"/>
      <c r="D18" s="43"/>
      <c r="E18" s="43"/>
      <c r="F18" s="43"/>
      <c r="G18" s="43"/>
      <c r="H18" s="43"/>
      <c r="I18" s="43"/>
      <c r="J18" s="43"/>
      <c r="K18" s="217"/>
      <c r="L18" s="217"/>
      <c r="M18" s="217"/>
      <c r="N18" s="220"/>
      <c r="P18" s="522" t="s">
        <v>372</v>
      </c>
      <c r="Q18" s="523"/>
      <c r="R18" s="524"/>
      <c r="S18" s="440" t="e">
        <f>($M$9*(1+Pressupostos!$B$38))/(Avaliação!$N$12-Pressupostos!$B$38)</f>
        <v>#DIV/0!</v>
      </c>
    </row>
    <row r="19" spans="1:19" ht="12.75">
      <c r="A19" s="249" t="s">
        <v>360</v>
      </c>
      <c r="B19" s="250"/>
      <c r="C19" s="438">
        <f>+M17</f>
        <v>524497524.7724527</v>
      </c>
      <c r="D19" s="252"/>
      <c r="E19" s="253"/>
      <c r="F19" s="253"/>
      <c r="G19" s="253"/>
      <c r="H19" s="253"/>
      <c r="I19" s="253"/>
      <c r="J19" s="254"/>
      <c r="K19" s="255"/>
      <c r="L19" s="252"/>
      <c r="M19" s="252"/>
      <c r="N19" s="252"/>
      <c r="P19" s="330" t="s">
        <v>222</v>
      </c>
      <c r="Q19" s="257"/>
      <c r="R19" s="257"/>
      <c r="S19" s="336"/>
    </row>
    <row r="20" spans="1:19" ht="12.75" customHeight="1">
      <c r="A20" s="43"/>
      <c r="B20" s="231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P20" s="626" t="s">
        <v>416</v>
      </c>
      <c r="Q20" s="627"/>
      <c r="R20" s="628"/>
      <c r="S20" s="440">
        <f>(+Balanço!$M$9+FundoManeio!$M$22)</f>
        <v>58683254.10215717</v>
      </c>
    </row>
    <row r="21" spans="1:14" ht="12.75">
      <c r="A21" s="52" t="s">
        <v>361</v>
      </c>
      <c r="B21" s="60"/>
      <c r="C21" s="439" t="e">
        <f>IRR(C10:M10,0.1)</f>
        <v>#NUM!</v>
      </c>
      <c r="D21" s="233"/>
      <c r="E21" s="233"/>
      <c r="F21" s="233"/>
      <c r="G21" s="233"/>
      <c r="H21" s="233"/>
      <c r="I21" s="233"/>
      <c r="J21" s="233"/>
      <c r="K21" s="233"/>
      <c r="L21" s="217"/>
      <c r="M21" s="217"/>
      <c r="N21" s="217"/>
    </row>
    <row r="22" spans="1:14" ht="12.75">
      <c r="A22" s="43"/>
      <c r="B22" s="43"/>
      <c r="C22" s="33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21" ht="12.75">
      <c r="A23" s="52" t="s">
        <v>396</v>
      </c>
      <c r="B23" s="60"/>
      <c r="C23" s="438"/>
      <c r="D23" s="333" t="s">
        <v>3</v>
      </c>
      <c r="E23" s="431"/>
      <c r="F23" s="333" t="s">
        <v>229</v>
      </c>
      <c r="G23" s="248"/>
      <c r="H23" s="248"/>
      <c r="I23" s="248"/>
      <c r="J23" s="43"/>
      <c r="K23" s="43"/>
      <c r="L23" s="43"/>
      <c r="M23" s="43"/>
      <c r="N23" s="43"/>
      <c r="O23" s="441" t="s">
        <v>375</v>
      </c>
      <c r="P23" s="441"/>
      <c r="Q23" s="441"/>
      <c r="R23" s="441"/>
      <c r="S23" s="441"/>
      <c r="T23" s="441"/>
      <c r="U23" s="441"/>
    </row>
    <row r="24" spans="1:14" ht="12.75">
      <c r="A24" s="219"/>
      <c r="B24" s="46"/>
      <c r="C24" s="220"/>
      <c r="D24" s="220"/>
      <c r="E24" s="432" t="s">
        <v>367</v>
      </c>
      <c r="F24" s="43"/>
      <c r="G24" s="220"/>
      <c r="H24" s="220"/>
      <c r="I24" s="220"/>
      <c r="J24" s="220"/>
      <c r="K24" s="220"/>
      <c r="L24" s="220"/>
      <c r="M24" s="220"/>
      <c r="N24" s="220"/>
    </row>
    <row r="25" spans="1:14" ht="12.75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</row>
    <row r="26" spans="1:14" ht="12.75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1:20" ht="27" customHeight="1">
      <c r="A27" s="219"/>
      <c r="B27" s="46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P27" s="368"/>
      <c r="Q27" s="368" t="s">
        <v>0</v>
      </c>
      <c r="R27" s="368" t="s">
        <v>1</v>
      </c>
      <c r="S27" s="368"/>
      <c r="T27" s="58"/>
    </row>
    <row r="28" spans="1:20" ht="12.75" customHeight="1">
      <c r="A28" s="622" t="s">
        <v>418</v>
      </c>
      <c r="B28" s="623"/>
      <c r="C28" s="63">
        <f>+VN!C8</f>
        <v>2021</v>
      </c>
      <c r="D28" s="63">
        <f>+VN!D8</f>
        <v>2022</v>
      </c>
      <c r="E28" s="63">
        <f>+VN!E8</f>
        <v>2023</v>
      </c>
      <c r="F28" s="63">
        <f>+VN!F8</f>
        <v>2024</v>
      </c>
      <c r="G28" s="63">
        <f>+VN!G8</f>
        <v>2025</v>
      </c>
      <c r="H28" s="63">
        <f>+VN!H8</f>
        <v>2026</v>
      </c>
      <c r="I28" s="63">
        <f>+VN!I8</f>
        <v>2027</v>
      </c>
      <c r="J28" s="63">
        <f>+VN!J8</f>
        <v>2028</v>
      </c>
      <c r="K28" s="63">
        <f>+VN!K8</f>
        <v>2029</v>
      </c>
      <c r="L28" s="63">
        <f>+VN!L8</f>
        <v>2030</v>
      </c>
      <c r="M28" s="63">
        <f>+VN!M8</f>
        <v>2031</v>
      </c>
      <c r="N28" s="474" t="s">
        <v>415</v>
      </c>
      <c r="O28" s="367"/>
      <c r="P28" s="325" t="s">
        <v>16</v>
      </c>
      <c r="Q28" s="326">
        <f>+C36</f>
        <v>6292611.39535</v>
      </c>
      <c r="R28" s="326">
        <f>+Q28</f>
        <v>6292611.39535</v>
      </c>
      <c r="S28" s="327">
        <f aca="true" t="shared" si="8" ref="S28:S33">IF(R28&gt;0,R28/Q28*12)</f>
        <v>12</v>
      </c>
      <c r="T28" s="58"/>
    </row>
    <row r="29" spans="1:20" ht="12.75">
      <c r="A29" s="116"/>
      <c r="B29" s="1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624" t="s">
        <v>417</v>
      </c>
      <c r="P29" s="325" t="s">
        <v>17</v>
      </c>
      <c r="Q29" s="326">
        <f>+D36</f>
        <v>16526574.607466668</v>
      </c>
      <c r="R29" s="326">
        <f aca="true" t="shared" si="9" ref="R29:R35">+R28+Q29</f>
        <v>22819186.00281667</v>
      </c>
      <c r="S29" s="328">
        <f t="shared" si="8"/>
        <v>16.569085762640988</v>
      </c>
      <c r="T29" s="58"/>
    </row>
    <row r="30" spans="1:20" ht="12.75">
      <c r="A30" s="52" t="s">
        <v>95</v>
      </c>
      <c r="B30" s="60"/>
      <c r="C30" s="218">
        <f>+'Cash Flow'!C21</f>
        <v>6292611.39535</v>
      </c>
      <c r="D30" s="218">
        <f>+'Cash Flow'!D21</f>
        <v>16526574.607466668</v>
      </c>
      <c r="E30" s="218">
        <f>+'Cash Flow'!E21</f>
        <v>31307378.1588765</v>
      </c>
      <c r="F30" s="218">
        <f>+'Cash Flow'!F21</f>
        <v>41410976.22535382</v>
      </c>
      <c r="G30" s="218">
        <f>+'Cash Flow'!G21</f>
        <v>43464356.90580656</v>
      </c>
      <c r="H30" s="218">
        <f>+'Cash Flow'!H21</f>
        <v>41040269.13718453</v>
      </c>
      <c r="I30" s="218">
        <f>+'Cash Flow'!I21</f>
        <v>49052494.50843835</v>
      </c>
      <c r="J30" s="218">
        <f>+'Cash Flow'!J21</f>
        <v>54143602.54382518</v>
      </c>
      <c r="K30" s="218">
        <f>+'Cash Flow'!K21</f>
        <v>55388936.76042292</v>
      </c>
      <c r="L30" s="218">
        <f>+'Cash Flow'!L21</f>
        <v>63453402.10670124</v>
      </c>
      <c r="M30" s="218">
        <f>+'Cash Flow'!M21</f>
        <v>63733668.320869744</v>
      </c>
      <c r="N30" s="338">
        <f>+S40</f>
        <v>58683254.10215717</v>
      </c>
      <c r="O30" s="624"/>
      <c r="P30" s="325" t="s">
        <v>18</v>
      </c>
      <c r="Q30" s="326">
        <f>+E$36</f>
        <v>31307378.1588765</v>
      </c>
      <c r="R30" s="326">
        <f t="shared" si="9"/>
        <v>54126564.16169317</v>
      </c>
      <c r="S30" s="328">
        <f t="shared" si="8"/>
        <v>20.746507952348658</v>
      </c>
      <c r="T30" s="58"/>
    </row>
    <row r="31" spans="1:20" ht="12.75">
      <c r="A31" s="478" t="s">
        <v>419</v>
      </c>
      <c r="B31" s="529"/>
      <c r="C31" s="529">
        <f aca="true" t="shared" si="10" ref="C31:L31">+C30</f>
        <v>6292611.39535</v>
      </c>
      <c r="D31" s="529">
        <f t="shared" si="10"/>
        <v>16526574.607466668</v>
      </c>
      <c r="E31" s="529">
        <f t="shared" si="10"/>
        <v>31307378.1588765</v>
      </c>
      <c r="F31" s="529">
        <f t="shared" si="10"/>
        <v>41410976.22535382</v>
      </c>
      <c r="G31" s="529">
        <f t="shared" si="10"/>
        <v>43464356.90580656</v>
      </c>
      <c r="H31" s="529">
        <f t="shared" si="10"/>
        <v>41040269.13718453</v>
      </c>
      <c r="I31" s="529">
        <f t="shared" si="10"/>
        <v>49052494.50843835</v>
      </c>
      <c r="J31" s="529">
        <f t="shared" si="10"/>
        <v>54143602.54382518</v>
      </c>
      <c r="K31" s="529">
        <f t="shared" si="10"/>
        <v>55388936.76042292</v>
      </c>
      <c r="L31" s="529">
        <f t="shared" si="10"/>
        <v>63453402.10670124</v>
      </c>
      <c r="M31" s="529">
        <f>+M30+N30</f>
        <v>122416922.42302692</v>
      </c>
      <c r="N31" s="220"/>
      <c r="O31" s="624"/>
      <c r="P31" s="325" t="s">
        <v>19</v>
      </c>
      <c r="Q31" s="326">
        <f>+F36</f>
        <v>41410976.22535382</v>
      </c>
      <c r="R31" s="326">
        <f t="shared" si="9"/>
        <v>95537540.387047</v>
      </c>
      <c r="S31" s="329">
        <f t="shared" si="8"/>
        <v>27.684700751938585</v>
      </c>
      <c r="T31" s="58"/>
    </row>
    <row r="32" spans="1:20" ht="12.75">
      <c r="A32" s="46"/>
      <c r="B32" s="46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528"/>
      <c r="P32" s="325" t="s">
        <v>20</v>
      </c>
      <c r="Q32" s="326">
        <f>+G36</f>
        <v>43464356.90580656</v>
      </c>
      <c r="R32" s="326">
        <f t="shared" si="9"/>
        <v>139001897.29285353</v>
      </c>
      <c r="S32" s="329">
        <f t="shared" si="8"/>
        <v>38.37679621325319</v>
      </c>
      <c r="T32" s="58"/>
    </row>
    <row r="33" spans="1:20" ht="12.75">
      <c r="A33" s="470" t="s">
        <v>391</v>
      </c>
      <c r="B33" s="221"/>
      <c r="C33" s="222">
        <f>+C90</f>
        <v>0</v>
      </c>
      <c r="D33" s="222">
        <f aca="true" t="shared" si="11" ref="D33:M33">+D90</f>
        <v>0</v>
      </c>
      <c r="E33" s="222">
        <f t="shared" si="11"/>
        <v>0</v>
      </c>
      <c r="F33" s="222">
        <f t="shared" si="11"/>
        <v>0</v>
      </c>
      <c r="G33" s="222">
        <f t="shared" si="11"/>
        <v>0</v>
      </c>
      <c r="H33" s="222">
        <f t="shared" si="11"/>
        <v>0</v>
      </c>
      <c r="I33" s="222" t="e">
        <f t="shared" si="11"/>
        <v>#DIV/0!</v>
      </c>
      <c r="J33" s="222" t="e">
        <f t="shared" si="11"/>
        <v>#DIV/0!</v>
      </c>
      <c r="K33" s="222" t="e">
        <f t="shared" si="11"/>
        <v>#DIV/0!</v>
      </c>
      <c r="L33" s="222" t="e">
        <f t="shared" si="11"/>
        <v>#DIV/0!</v>
      </c>
      <c r="M33" s="222" t="e">
        <f t="shared" si="11"/>
        <v>#DIV/0!</v>
      </c>
      <c r="N33" s="220"/>
      <c r="P33" s="325" t="s">
        <v>21</v>
      </c>
      <c r="Q33" s="326">
        <f>+H36</f>
        <v>41040269.13718453</v>
      </c>
      <c r="R33" s="326">
        <f t="shared" si="9"/>
        <v>180042166.43003806</v>
      </c>
      <c r="S33" s="329">
        <f t="shared" si="8"/>
        <v>52.64356308041194</v>
      </c>
      <c r="T33" s="58"/>
    </row>
    <row r="34" spans="1:20" ht="12.75">
      <c r="A34" s="471" t="s">
        <v>392</v>
      </c>
      <c r="B34" s="223"/>
      <c r="C34" s="224">
        <v>1</v>
      </c>
      <c r="D34" s="225">
        <f>+C34*(1+D33)</f>
        <v>1</v>
      </c>
      <c r="E34" s="225">
        <f>+D34*(1+E33)</f>
        <v>1</v>
      </c>
      <c r="F34" s="225">
        <f aca="true" t="shared" si="12" ref="F34:M34">+E34*(1+F33)</f>
        <v>1</v>
      </c>
      <c r="G34" s="225">
        <f t="shared" si="12"/>
        <v>1</v>
      </c>
      <c r="H34" s="225">
        <f t="shared" si="12"/>
        <v>1</v>
      </c>
      <c r="I34" s="225" t="e">
        <f t="shared" si="12"/>
        <v>#DIV/0!</v>
      </c>
      <c r="J34" s="225" t="e">
        <f t="shared" si="12"/>
        <v>#DIV/0!</v>
      </c>
      <c r="K34" s="225" t="e">
        <f t="shared" si="12"/>
        <v>#DIV/0!</v>
      </c>
      <c r="L34" s="225" t="e">
        <f t="shared" si="12"/>
        <v>#DIV/0!</v>
      </c>
      <c r="M34" s="225" t="e">
        <f t="shared" si="12"/>
        <v>#DIV/0!</v>
      </c>
      <c r="N34" s="220"/>
      <c r="P34" s="325" t="s">
        <v>96</v>
      </c>
      <c r="Q34" s="326" t="e">
        <f>+I36</f>
        <v>#DIV/0!</v>
      </c>
      <c r="R34" s="326" t="e">
        <f t="shared" si="9"/>
        <v>#DIV/0!</v>
      </c>
      <c r="S34" s="329" t="e">
        <f>IF(R34&gt;0,R34/Q34*12)</f>
        <v>#DIV/0!</v>
      </c>
      <c r="T34" s="58"/>
    </row>
    <row r="35" spans="1:20" ht="12.75">
      <c r="A35" s="43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0"/>
      <c r="P35" s="325" t="s">
        <v>374</v>
      </c>
      <c r="Q35" s="326" t="e">
        <f>+J36</f>
        <v>#DIV/0!</v>
      </c>
      <c r="R35" s="326" t="e">
        <f t="shared" si="9"/>
        <v>#DIV/0!</v>
      </c>
      <c r="S35" s="329" t="e">
        <f>IF(R35&gt;0,R35/Q35*12)</f>
        <v>#DIV/0!</v>
      </c>
      <c r="T35" s="58"/>
    </row>
    <row r="36" spans="1:20" ht="12.75">
      <c r="A36" s="52" t="s">
        <v>358</v>
      </c>
      <c r="B36" s="60"/>
      <c r="C36" s="218">
        <f>+C31/C34</f>
        <v>6292611.39535</v>
      </c>
      <c r="D36" s="218">
        <f aca="true" t="shared" si="13" ref="D36:M36">+D31/D34</f>
        <v>16526574.607466668</v>
      </c>
      <c r="E36" s="218">
        <f t="shared" si="13"/>
        <v>31307378.1588765</v>
      </c>
      <c r="F36" s="218">
        <f t="shared" si="13"/>
        <v>41410976.22535382</v>
      </c>
      <c r="G36" s="218">
        <f t="shared" si="13"/>
        <v>43464356.90580656</v>
      </c>
      <c r="H36" s="218">
        <f t="shared" si="13"/>
        <v>41040269.13718453</v>
      </c>
      <c r="I36" s="218" t="e">
        <f t="shared" si="13"/>
        <v>#DIV/0!</v>
      </c>
      <c r="J36" s="218" t="e">
        <f t="shared" si="13"/>
        <v>#DIV/0!</v>
      </c>
      <c r="K36" s="218" t="e">
        <f t="shared" si="13"/>
        <v>#DIV/0!</v>
      </c>
      <c r="L36" s="218" t="e">
        <f t="shared" si="13"/>
        <v>#DIV/0!</v>
      </c>
      <c r="M36" s="218" t="e">
        <f t="shared" si="13"/>
        <v>#DIV/0!</v>
      </c>
      <c r="N36" s="220"/>
      <c r="T36" s="58"/>
    </row>
    <row r="37" spans="1:20" ht="12.75">
      <c r="A37" s="43"/>
      <c r="B37" s="116"/>
      <c r="C37" s="22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220"/>
      <c r="P37" s="525" t="s">
        <v>221</v>
      </c>
      <c r="Q37" s="526"/>
      <c r="R37" s="58"/>
      <c r="S37" s="58"/>
      <c r="T37" s="58"/>
    </row>
    <row r="38" spans="1:20" s="256" customFormat="1" ht="12.75">
      <c r="A38" s="52" t="s">
        <v>359</v>
      </c>
      <c r="B38" s="60"/>
      <c r="C38" s="218">
        <f>+C36</f>
        <v>6292611.39535</v>
      </c>
      <c r="D38" s="218">
        <f>+SUM($C$36:D36)</f>
        <v>22819186.00281667</v>
      </c>
      <c r="E38" s="218">
        <f>+SUM($C$36:E36)</f>
        <v>54126564.16169317</v>
      </c>
      <c r="F38" s="218">
        <f>+SUM($C$36:F36)</f>
        <v>95537540.387047</v>
      </c>
      <c r="G38" s="218">
        <f>+SUM($C$36:G36)</f>
        <v>139001897.29285353</v>
      </c>
      <c r="H38" s="218">
        <f>+SUM($C$36:H36)</f>
        <v>180042166.43003806</v>
      </c>
      <c r="I38" s="218" t="e">
        <f>+SUM($C$36:I36)</f>
        <v>#DIV/0!</v>
      </c>
      <c r="J38" s="218" t="e">
        <f>+SUM($C$36:J36)</f>
        <v>#DIV/0!</v>
      </c>
      <c r="K38" s="218" t="e">
        <f>+SUM($C$36:K36)</f>
        <v>#DIV/0!</v>
      </c>
      <c r="L38" s="218" t="e">
        <f>+SUM($C$36:L36)</f>
        <v>#DIV/0!</v>
      </c>
      <c r="M38" s="218" t="e">
        <f>+SUM($C$36:M36)+N36</f>
        <v>#DIV/0!</v>
      </c>
      <c r="N38" s="220"/>
      <c r="O38" s="51"/>
      <c r="P38" s="626" t="s">
        <v>373</v>
      </c>
      <c r="Q38" s="627"/>
      <c r="R38" s="628"/>
      <c r="S38" s="531" t="e">
        <f>($M$30*(1+Pressupostos!$B$38))/(Avaliação!$M$33-Pressupostos!$B$38)</f>
        <v>#DIV/0!</v>
      </c>
      <c r="T38" s="257"/>
    </row>
    <row r="39" spans="1:20" ht="12.75" customHeight="1">
      <c r="A39" s="43"/>
      <c r="B39" s="116"/>
      <c r="C39" s="227"/>
      <c r="D39" s="43"/>
      <c r="E39" s="43"/>
      <c r="F39" s="43"/>
      <c r="G39" s="43"/>
      <c r="H39" s="43"/>
      <c r="I39" s="43"/>
      <c r="J39" s="43"/>
      <c r="K39" s="217"/>
      <c r="L39" s="217"/>
      <c r="M39" s="217"/>
      <c r="N39" s="217"/>
      <c r="P39" s="330" t="s">
        <v>222</v>
      </c>
      <c r="Q39" s="257"/>
      <c r="R39" s="257"/>
      <c r="S39" s="336"/>
      <c r="T39" s="58"/>
    </row>
    <row r="40" spans="1:19" ht="9.75" customHeight="1">
      <c r="A40" s="249" t="s">
        <v>360</v>
      </c>
      <c r="B40" s="250"/>
      <c r="C40" s="251" t="e">
        <f>+M38</f>
        <v>#DIV/0!</v>
      </c>
      <c r="D40" s="252"/>
      <c r="E40" s="253"/>
      <c r="F40" s="253"/>
      <c r="G40" s="253"/>
      <c r="H40" s="253"/>
      <c r="I40" s="253"/>
      <c r="J40" s="254"/>
      <c r="K40" s="255"/>
      <c r="L40" s="252"/>
      <c r="M40" s="252"/>
      <c r="N40" s="252"/>
      <c r="O40" s="256"/>
      <c r="P40" s="626" t="s">
        <v>416</v>
      </c>
      <c r="Q40" s="627"/>
      <c r="R40" s="628"/>
      <c r="S40" s="531">
        <f>(+Balanço!$M$9+FundoManeio!$M$22)</f>
        <v>58683254.10215717</v>
      </c>
    </row>
    <row r="41" spans="1:14" ht="12.75" customHeight="1">
      <c r="A41" s="43"/>
      <c r="B41" s="231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4" ht="12.75">
      <c r="A42" s="52" t="s">
        <v>361</v>
      </c>
      <c r="B42" s="60"/>
      <c r="C42" s="232" t="e">
        <f>IRR(C31:M31,0.1)</f>
        <v>#NUM!</v>
      </c>
      <c r="D42" s="233"/>
      <c r="E42" s="233"/>
      <c r="F42" s="233"/>
      <c r="G42" s="233"/>
      <c r="H42" s="233"/>
      <c r="I42" s="233"/>
      <c r="J42" s="233"/>
      <c r="K42" s="233"/>
      <c r="L42" s="217"/>
      <c r="M42" s="217"/>
      <c r="N42" s="217"/>
    </row>
    <row r="43" spans="1:14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21" ht="12.75">
      <c r="A44" s="52" t="s">
        <v>395</v>
      </c>
      <c r="B44" s="60"/>
      <c r="C44" s="438"/>
      <c r="D44" s="333" t="s">
        <v>3</v>
      </c>
      <c r="E44" s="431"/>
      <c r="F44" s="333" t="s">
        <v>229</v>
      </c>
      <c r="G44" s="248"/>
      <c r="H44" s="248"/>
      <c r="I44" s="248"/>
      <c r="J44" s="43"/>
      <c r="K44" s="43"/>
      <c r="L44" s="43"/>
      <c r="M44" s="43"/>
      <c r="N44" s="43"/>
      <c r="O44" s="441" t="s">
        <v>375</v>
      </c>
      <c r="P44" s="441"/>
      <c r="Q44" s="441"/>
      <c r="R44" s="441"/>
      <c r="S44" s="441"/>
      <c r="T44" s="441"/>
      <c r="U44" s="441"/>
    </row>
    <row r="45" spans="1:14" ht="12.75">
      <c r="A45" s="43"/>
      <c r="B45" s="43"/>
      <c r="C45" s="43"/>
      <c r="D45" s="43"/>
      <c r="E45" s="432" t="s">
        <v>367</v>
      </c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2.75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</row>
    <row r="47" spans="1:19" ht="12.75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P47" s="325"/>
      <c r="Q47" s="325" t="s">
        <v>0</v>
      </c>
      <c r="R47" s="325" t="s">
        <v>1</v>
      </c>
      <c r="S47" s="325"/>
    </row>
    <row r="48" spans="1:19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P48" s="325" t="s">
        <v>16</v>
      </c>
      <c r="Q48" s="326">
        <f>+C57</f>
        <v>10051651.39535</v>
      </c>
      <c r="R48" s="326">
        <f>+Q48</f>
        <v>10051651.39535</v>
      </c>
      <c r="S48" s="327">
        <f aca="true" t="shared" si="14" ref="S48:S54">IF(R48&gt;0,R48/Q48*12)</f>
        <v>12</v>
      </c>
    </row>
    <row r="49" spans="1:19" ht="12.75">
      <c r="A49" s="629" t="s">
        <v>390</v>
      </c>
      <c r="B49" s="623"/>
      <c r="C49" s="63">
        <f>+VN!C8</f>
        <v>2021</v>
      </c>
      <c r="D49" s="63">
        <f>+VN!D8</f>
        <v>2022</v>
      </c>
      <c r="E49" s="63">
        <f>+VN!E8</f>
        <v>2023</v>
      </c>
      <c r="F49" s="63">
        <f>+VN!F8</f>
        <v>2024</v>
      </c>
      <c r="G49" s="63">
        <f>+VN!G8</f>
        <v>2025</v>
      </c>
      <c r="H49" s="63">
        <f>+VN!H8</f>
        <v>2026</v>
      </c>
      <c r="I49" s="63">
        <f>+VN!I8</f>
        <v>2027</v>
      </c>
      <c r="J49" s="63">
        <f>+VN!J8</f>
        <v>2028</v>
      </c>
      <c r="K49" s="63">
        <f>+VN!K8</f>
        <v>2029</v>
      </c>
      <c r="L49" s="63">
        <f>+VN!L8</f>
        <v>2030</v>
      </c>
      <c r="M49" s="63">
        <f>+VN!M8</f>
        <v>2031</v>
      </c>
      <c r="N49" s="474" t="s">
        <v>415</v>
      </c>
      <c r="O49" s="367"/>
      <c r="P49" s="325" t="s">
        <v>17</v>
      </c>
      <c r="Q49" s="326">
        <f>+D57</f>
        <v>16044654.607466668</v>
      </c>
      <c r="R49" s="326">
        <f aca="true" t="shared" si="15" ref="R49:R54">+R48+Q49</f>
        <v>26096306.00281667</v>
      </c>
      <c r="S49" s="331">
        <f t="shared" si="14"/>
        <v>19.51775714062847</v>
      </c>
    </row>
    <row r="50" spans="1:19" ht="12.75">
      <c r="A50" s="43"/>
      <c r="B50" s="1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624" t="s">
        <v>417</v>
      </c>
      <c r="P50" s="325" t="s">
        <v>18</v>
      </c>
      <c r="Q50" s="326">
        <f>+E$57</f>
        <v>30825458.1588765</v>
      </c>
      <c r="R50" s="326">
        <f t="shared" si="15"/>
        <v>56921764.16169317</v>
      </c>
      <c r="S50" s="331">
        <f t="shared" si="14"/>
        <v>22.158994893758738</v>
      </c>
    </row>
    <row r="51" spans="1:19" ht="12.75">
      <c r="A51" s="472" t="s">
        <v>393</v>
      </c>
      <c r="B51" s="60"/>
      <c r="C51" s="218">
        <f>+'Cash Flow'!C21+PlanoFinanceiro!C12-PlanoFinanceiro!C23-'DR'!B28</f>
        <v>10051651.39535</v>
      </c>
      <c r="D51" s="218">
        <f>+'Cash Flow'!D21+PlanoFinanceiro!D12-PlanoFinanceiro!D23-'DR'!C28</f>
        <v>16044654.607466668</v>
      </c>
      <c r="E51" s="218">
        <f>+'Cash Flow'!E21+PlanoFinanceiro!E12-PlanoFinanceiro!E23-'DR'!D28</f>
        <v>30825458.1588765</v>
      </c>
      <c r="F51" s="218">
        <f>+'Cash Flow'!F21+PlanoFinanceiro!F12-PlanoFinanceiro!F23-'DR'!E28</f>
        <v>39595722.89202049</v>
      </c>
      <c r="G51" s="218">
        <f>+'Cash Flow'!G21+PlanoFinanceiro!G12-PlanoFinanceiro!G23-'DR'!F28</f>
        <v>41809743.57247322</v>
      </c>
      <c r="H51" s="218">
        <f>+'Cash Flow'!H21+PlanoFinanceiro!H12-PlanoFinanceiro!H23-'DR'!G28</f>
        <v>49546295.803851195</v>
      </c>
      <c r="I51" s="218" t="e">
        <f>+'Cash Flow'!I21+PlanoFinanceiro!I12-PlanoFinanceiro!I23-'DR'!H28</f>
        <v>#DIV/0!</v>
      </c>
      <c r="J51" s="218" t="e">
        <f>+'Cash Flow'!J21+PlanoFinanceiro!J12-PlanoFinanceiro!J23-'DR'!I28</f>
        <v>#DIV/0!</v>
      </c>
      <c r="K51" s="218" t="e">
        <f>+'Cash Flow'!K21+PlanoFinanceiro!K12-PlanoFinanceiro!K23-'DR'!J28</f>
        <v>#DIV/0!</v>
      </c>
      <c r="L51" s="218" t="e">
        <f>+'Cash Flow'!L21+PlanoFinanceiro!L12-PlanoFinanceiro!L23-'DR'!K28</f>
        <v>#DIV/0!</v>
      </c>
      <c r="M51" s="218" t="e">
        <f>+'Cash Flow'!M21+PlanoFinanceiro!M12-PlanoFinanceiro!M23-'DR'!L28</f>
        <v>#DIV/0!</v>
      </c>
      <c r="N51" s="338">
        <f>+S61</f>
        <v>48392180</v>
      </c>
      <c r="O51" s="624"/>
      <c r="P51" s="325" t="s">
        <v>19</v>
      </c>
      <c r="Q51" s="326">
        <f>+F$57</f>
        <v>39595722.89202049</v>
      </c>
      <c r="R51" s="326">
        <f>+R50+Q51</f>
        <v>96517487.05371365</v>
      </c>
      <c r="S51" s="329">
        <f>IF(R51&gt;0,R51/Q51*12)</f>
        <v>29.250882672430556</v>
      </c>
    </row>
    <row r="52" spans="1:19" ht="12.75">
      <c r="A52" s="472" t="s">
        <v>420</v>
      </c>
      <c r="B52" s="530"/>
      <c r="C52" s="218">
        <f>+C51</f>
        <v>10051651.39535</v>
      </c>
      <c r="D52" s="218">
        <f aca="true" t="shared" si="16" ref="D52:L52">+D51</f>
        <v>16044654.607466668</v>
      </c>
      <c r="E52" s="218">
        <f t="shared" si="16"/>
        <v>30825458.1588765</v>
      </c>
      <c r="F52" s="218">
        <f t="shared" si="16"/>
        <v>39595722.89202049</v>
      </c>
      <c r="G52" s="218">
        <f t="shared" si="16"/>
        <v>41809743.57247322</v>
      </c>
      <c r="H52" s="218">
        <f t="shared" si="16"/>
        <v>49546295.803851195</v>
      </c>
      <c r="I52" s="218" t="e">
        <f t="shared" si="16"/>
        <v>#DIV/0!</v>
      </c>
      <c r="J52" s="218" t="e">
        <f t="shared" si="16"/>
        <v>#DIV/0!</v>
      </c>
      <c r="K52" s="218" t="e">
        <f t="shared" si="16"/>
        <v>#DIV/0!</v>
      </c>
      <c r="L52" s="218" t="e">
        <f t="shared" si="16"/>
        <v>#DIV/0!</v>
      </c>
      <c r="M52" s="218" t="e">
        <f>+M51+N51</f>
        <v>#DIV/0!</v>
      </c>
      <c r="N52" s="226"/>
      <c r="O52" s="624"/>
      <c r="P52" s="325" t="s">
        <v>20</v>
      </c>
      <c r="Q52" s="326">
        <f>+G$57</f>
        <v>41809743.57247322</v>
      </c>
      <c r="R52" s="326">
        <f>+R51+Q52</f>
        <v>138327230.62618688</v>
      </c>
      <c r="S52" s="329">
        <f>IF(R52&gt;0,R52/Q52*12)</f>
        <v>39.701912178363806</v>
      </c>
    </row>
    <row r="53" spans="1:19" ht="12.75">
      <c r="A53" s="43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P53" s="325" t="s">
        <v>21</v>
      </c>
      <c r="Q53" s="326">
        <f>+H$57</f>
        <v>49546295.803851195</v>
      </c>
      <c r="R53" s="326">
        <f>+R52+Q53</f>
        <v>187873526.43003806</v>
      </c>
      <c r="S53" s="329">
        <f>IF(R53&gt;0,R53/Q53*12)</f>
        <v>45.5025402117996</v>
      </c>
    </row>
    <row r="54" spans="1:19" ht="12.75">
      <c r="A54" s="473" t="s">
        <v>394</v>
      </c>
      <c r="B54" s="370"/>
      <c r="C54" s="433">
        <f>+C72</f>
        <v>0</v>
      </c>
      <c r="D54" s="433">
        <f aca="true" t="shared" si="17" ref="D54:M54">+D72</f>
        <v>0</v>
      </c>
      <c r="E54" s="433">
        <f t="shared" si="17"/>
        <v>0</v>
      </c>
      <c r="F54" s="433">
        <f t="shared" si="17"/>
        <v>0</v>
      </c>
      <c r="G54" s="433">
        <f t="shared" si="17"/>
        <v>0</v>
      </c>
      <c r="H54" s="433">
        <f t="shared" si="17"/>
        <v>0</v>
      </c>
      <c r="I54" s="433">
        <f t="shared" si="17"/>
        <v>0</v>
      </c>
      <c r="J54" s="433">
        <f t="shared" si="17"/>
        <v>0</v>
      </c>
      <c r="K54" s="433">
        <f t="shared" si="17"/>
        <v>0</v>
      </c>
      <c r="L54" s="433">
        <f t="shared" si="17"/>
        <v>0</v>
      </c>
      <c r="M54" s="433">
        <f t="shared" si="17"/>
        <v>0</v>
      </c>
      <c r="N54" s="226"/>
      <c r="P54" s="325" t="s">
        <v>96</v>
      </c>
      <c r="Q54" s="326" t="e">
        <f>+I$57</f>
        <v>#DIV/0!</v>
      </c>
      <c r="R54" s="326" t="e">
        <f t="shared" si="15"/>
        <v>#DIV/0!</v>
      </c>
      <c r="S54" s="329" t="e">
        <f t="shared" si="14"/>
        <v>#DIV/0!</v>
      </c>
    </row>
    <row r="55" spans="1:19" ht="12.75">
      <c r="A55" s="108" t="s">
        <v>365</v>
      </c>
      <c r="B55" s="221"/>
      <c r="C55" s="224">
        <v>1</v>
      </c>
      <c r="D55" s="225">
        <f aca="true" t="shared" si="18" ref="D55:M55">+C55*(1+D54)</f>
        <v>1</v>
      </c>
      <c r="E55" s="225">
        <f t="shared" si="18"/>
        <v>1</v>
      </c>
      <c r="F55" s="225">
        <f t="shared" si="18"/>
        <v>1</v>
      </c>
      <c r="G55" s="225">
        <f t="shared" si="18"/>
        <v>1</v>
      </c>
      <c r="H55" s="225">
        <f t="shared" si="18"/>
        <v>1</v>
      </c>
      <c r="I55" s="225">
        <f t="shared" si="18"/>
        <v>1</v>
      </c>
      <c r="J55" s="225">
        <f t="shared" si="18"/>
        <v>1</v>
      </c>
      <c r="K55" s="225">
        <f t="shared" si="18"/>
        <v>1</v>
      </c>
      <c r="L55" s="225">
        <f t="shared" si="18"/>
        <v>1</v>
      </c>
      <c r="M55" s="225">
        <f t="shared" si="18"/>
        <v>1</v>
      </c>
      <c r="N55" s="226"/>
      <c r="P55" s="325" t="s">
        <v>374</v>
      </c>
      <c r="Q55" s="326" t="e">
        <f>+J$57</f>
        <v>#DIV/0!</v>
      </c>
      <c r="R55" s="326" t="e">
        <f>+R54+Q55</f>
        <v>#DIV/0!</v>
      </c>
      <c r="S55" s="329" t="e">
        <f>IF(R55&gt;0,R55/Q55*12)</f>
        <v>#DIV/0!</v>
      </c>
    </row>
    <row r="56" spans="1:19" ht="12.75">
      <c r="A56" s="43"/>
      <c r="B56" s="226"/>
      <c r="C56" s="236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26"/>
      <c r="P56" s="58"/>
      <c r="Q56" s="58"/>
      <c r="R56" s="58"/>
      <c r="S56" s="58"/>
    </row>
    <row r="57" spans="1:14" ht="12.75">
      <c r="A57" s="52" t="s">
        <v>358</v>
      </c>
      <c r="B57" s="60"/>
      <c r="C57" s="218">
        <f>+C52/C55</f>
        <v>10051651.39535</v>
      </c>
      <c r="D57" s="218">
        <f aca="true" t="shared" si="19" ref="D57:M57">+D52/D55</f>
        <v>16044654.607466668</v>
      </c>
      <c r="E57" s="218">
        <f t="shared" si="19"/>
        <v>30825458.1588765</v>
      </c>
      <c r="F57" s="218">
        <f t="shared" si="19"/>
        <v>39595722.89202049</v>
      </c>
      <c r="G57" s="218">
        <f t="shared" si="19"/>
        <v>41809743.57247322</v>
      </c>
      <c r="H57" s="218">
        <f t="shared" si="19"/>
        <v>49546295.803851195</v>
      </c>
      <c r="I57" s="218" t="e">
        <f t="shared" si="19"/>
        <v>#DIV/0!</v>
      </c>
      <c r="J57" s="218" t="e">
        <f t="shared" si="19"/>
        <v>#DIV/0!</v>
      </c>
      <c r="K57" s="218" t="e">
        <f t="shared" si="19"/>
        <v>#DIV/0!</v>
      </c>
      <c r="L57" s="218" t="e">
        <f t="shared" si="19"/>
        <v>#DIV/0!</v>
      </c>
      <c r="M57" s="218" t="e">
        <f t="shared" si="19"/>
        <v>#DIV/0!</v>
      </c>
      <c r="N57" s="226"/>
    </row>
    <row r="58" spans="1:19" ht="12.75">
      <c r="A58" s="219"/>
      <c r="B58" s="46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6"/>
      <c r="P58" s="525" t="s">
        <v>221</v>
      </c>
      <c r="Q58" s="526"/>
      <c r="R58" s="58"/>
      <c r="S58" s="58"/>
    </row>
    <row r="59" spans="1:19" ht="13.5">
      <c r="A59" s="52" t="s">
        <v>359</v>
      </c>
      <c r="B59" s="60"/>
      <c r="C59" s="218">
        <f>+C57</f>
        <v>10051651.39535</v>
      </c>
      <c r="D59" s="218">
        <f>+SUM($C$57:D57)</f>
        <v>26096306.00281667</v>
      </c>
      <c r="E59" s="218">
        <f>+SUM($C$57:E57)</f>
        <v>56921764.16169317</v>
      </c>
      <c r="F59" s="218">
        <f>+SUM($C$57:F57)</f>
        <v>96517487.05371365</v>
      </c>
      <c r="G59" s="218">
        <f>+SUM($C$57:G57)</f>
        <v>138327230.62618688</v>
      </c>
      <c r="H59" s="218">
        <f>+SUM($C$57:H57)</f>
        <v>187873526.43003806</v>
      </c>
      <c r="I59" s="218" t="e">
        <f>+SUM($C$57:I57)</f>
        <v>#DIV/0!</v>
      </c>
      <c r="J59" s="218" t="e">
        <f>+SUM($C$57:J57)</f>
        <v>#DIV/0!</v>
      </c>
      <c r="K59" s="218" t="e">
        <f>+SUM($C$57:K57)</f>
        <v>#DIV/0!</v>
      </c>
      <c r="L59" s="218" t="e">
        <f>+SUM($C$57:L57)</f>
        <v>#DIV/0!</v>
      </c>
      <c r="M59" s="218" t="e">
        <f>+SUM($C$57:M57)</f>
        <v>#DIV/0!</v>
      </c>
      <c r="N59" s="226"/>
      <c r="P59" s="626" t="s">
        <v>371</v>
      </c>
      <c r="Q59" s="627"/>
      <c r="R59" s="628"/>
      <c r="S59" s="531" t="e">
        <f>($M$51*(1+Pressupostos!$B$38))/(Avaliação!$M$54-Pressupostos!$B$38)</f>
        <v>#DIV/0!</v>
      </c>
    </row>
    <row r="60" spans="1:19" ht="12.75">
      <c r="A60" s="43"/>
      <c r="B60" s="116"/>
      <c r="C60" s="227"/>
      <c r="D60" s="43"/>
      <c r="E60" s="43"/>
      <c r="F60" s="43"/>
      <c r="G60" s="43"/>
      <c r="H60" s="43"/>
      <c r="I60" s="43"/>
      <c r="J60" s="43"/>
      <c r="K60" s="217"/>
      <c r="L60" s="217"/>
      <c r="M60" s="217"/>
      <c r="N60" s="226"/>
      <c r="P60" s="330" t="s">
        <v>222</v>
      </c>
      <c r="Q60" s="257"/>
      <c r="R60" s="257"/>
      <c r="S60" s="336"/>
    </row>
    <row r="61" spans="1:19" ht="12.75" customHeight="1">
      <c r="A61" s="52" t="s">
        <v>360</v>
      </c>
      <c r="B61" s="60"/>
      <c r="C61" s="218" t="e">
        <f>M59</f>
        <v>#DIV/0!</v>
      </c>
      <c r="D61" s="228"/>
      <c r="E61" s="217"/>
      <c r="F61" s="217"/>
      <c r="G61" s="217"/>
      <c r="H61" s="217"/>
      <c r="I61" s="217"/>
      <c r="J61" s="229"/>
      <c r="K61" s="230"/>
      <c r="L61" s="228"/>
      <c r="M61" s="228"/>
      <c r="N61" s="226"/>
      <c r="P61" s="626" t="s">
        <v>416</v>
      </c>
      <c r="Q61" s="627"/>
      <c r="R61" s="628"/>
      <c r="S61" s="531">
        <f>+Balanço!M10+Balanço!M12</f>
        <v>48392180</v>
      </c>
    </row>
    <row r="62" spans="1:18" ht="12.75">
      <c r="A62" s="43"/>
      <c r="B62" s="231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P62" s="626" t="s">
        <v>421</v>
      </c>
      <c r="Q62" s="627"/>
      <c r="R62" s="628"/>
    </row>
    <row r="63" spans="1:37" s="43" customFormat="1" ht="12.75">
      <c r="A63" s="52" t="s">
        <v>361</v>
      </c>
      <c r="B63" s="60"/>
      <c r="C63" s="232" t="e">
        <f>IRR(C52:M52,0.1)</f>
        <v>#VALUE!</v>
      </c>
      <c r="D63" s="233"/>
      <c r="E63" s="233"/>
      <c r="F63" s="233"/>
      <c r="G63" s="233"/>
      <c r="H63" s="233"/>
      <c r="I63" s="233"/>
      <c r="J63" s="233"/>
      <c r="K63" s="233"/>
      <c r="L63" s="217"/>
      <c r="M63" s="217"/>
      <c r="N63" s="217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2:37" s="43" customFormat="1" ht="12.75">
      <c r="B64" s="116"/>
      <c r="C64" s="233"/>
      <c r="D64" s="233"/>
      <c r="E64" s="233"/>
      <c r="F64" s="233"/>
      <c r="G64" s="233"/>
      <c r="H64" s="233"/>
      <c r="I64" s="233"/>
      <c r="J64" s="233"/>
      <c r="K64" s="233"/>
      <c r="L64" s="217"/>
      <c r="M64" s="217"/>
      <c r="N64" s="217"/>
      <c r="O64" s="441" t="s">
        <v>375</v>
      </c>
      <c r="P64" s="441"/>
      <c r="Q64" s="441"/>
      <c r="R64" s="441"/>
      <c r="S64" s="441"/>
      <c r="T64" s="441"/>
      <c r="U64" s="44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s="43" customFormat="1" ht="12.75" customHeight="1">
      <c r="A65" s="52" t="s">
        <v>395</v>
      </c>
      <c r="B65" s="60"/>
      <c r="C65" s="438"/>
      <c r="D65" s="234" t="s">
        <v>3</v>
      </c>
      <c r="E65" s="431"/>
      <c r="F65" s="333" t="s">
        <v>229</v>
      </c>
      <c r="G65" s="233"/>
      <c r="H65" s="233"/>
      <c r="I65" s="233"/>
      <c r="J65" s="233"/>
      <c r="K65" s="233"/>
      <c r="L65" s="217"/>
      <c r="M65" s="217"/>
      <c r="N65" s="217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14" ht="10.5">
      <c r="A66" s="219"/>
      <c r="B66" s="46"/>
      <c r="C66" s="481"/>
      <c r="D66" s="482"/>
      <c r="E66" s="432" t="s">
        <v>367</v>
      </c>
      <c r="F66" s="483"/>
      <c r="G66" s="233"/>
      <c r="H66" s="233"/>
      <c r="I66" s="233"/>
      <c r="J66" s="233"/>
      <c r="K66" s="233"/>
      <c r="L66" s="217"/>
      <c r="M66" s="217"/>
      <c r="N66" s="217"/>
    </row>
    <row r="67" spans="1:14" ht="10.5">
      <c r="A67" s="219"/>
      <c r="B67" s="46"/>
      <c r="C67" s="481"/>
      <c r="D67" s="482"/>
      <c r="E67" s="484"/>
      <c r="F67" s="483"/>
      <c r="G67" s="233"/>
      <c r="H67" s="233"/>
      <c r="I67" s="233"/>
      <c r="J67" s="233"/>
      <c r="K67" s="233"/>
      <c r="L67" s="217"/>
      <c r="M67" s="217"/>
      <c r="N67" s="217"/>
    </row>
    <row r="68" spans="1:15" ht="15">
      <c r="A68" s="476" t="s">
        <v>397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238"/>
    </row>
    <row r="69" spans="1:15" ht="11.25">
      <c r="A69" s="479" t="s">
        <v>398</v>
      </c>
      <c r="B69" s="235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2"/>
      <c r="O69" s="238"/>
    </row>
    <row r="70" spans="1:14" ht="10.5">
      <c r="A70" s="108" t="s">
        <v>363</v>
      </c>
      <c r="B70" s="221"/>
      <c r="C70" s="434">
        <f>+Pressupostos!B35</f>
        <v>0</v>
      </c>
      <c r="D70" s="435">
        <f>+C70*(1+VN!D9)</f>
        <v>0</v>
      </c>
      <c r="E70" s="435">
        <f>+D70*(1+VN!E9)</f>
        <v>0</v>
      </c>
      <c r="F70" s="435">
        <f>+E70*(1+VN!F9)</f>
        <v>0</v>
      </c>
      <c r="G70" s="435">
        <f>+F70*(1+VN!G9)</f>
        <v>0</v>
      </c>
      <c r="H70" s="435">
        <f>+G70*(1+VN!H9)</f>
        <v>0</v>
      </c>
      <c r="I70" s="435">
        <f>+H70*(1+VN!I9)</f>
        <v>0</v>
      </c>
      <c r="J70" s="435">
        <f>+I70*(1+VN!J9)</f>
        <v>0</v>
      </c>
      <c r="K70" s="435">
        <f>+J70*(1+VN!K9)</f>
        <v>0</v>
      </c>
      <c r="L70" s="435">
        <f>+K70*(1+VN!L9)</f>
        <v>0</v>
      </c>
      <c r="M70" s="435">
        <f>+L70*(1+VN!M9)</f>
        <v>0</v>
      </c>
      <c r="N70" s="442"/>
    </row>
    <row r="71" spans="1:14" ht="10.5">
      <c r="A71" s="108" t="s">
        <v>364</v>
      </c>
      <c r="B71" s="221"/>
      <c r="C71" s="222">
        <f>+Pressupostos!B36</f>
        <v>0</v>
      </c>
      <c r="D71" s="222">
        <f aca="true" t="shared" si="20" ref="D71:M71">+C71</f>
        <v>0</v>
      </c>
      <c r="E71" s="222">
        <f t="shared" si="20"/>
        <v>0</v>
      </c>
      <c r="F71" s="222">
        <f t="shared" si="20"/>
        <v>0</v>
      </c>
      <c r="G71" s="222">
        <f t="shared" si="20"/>
        <v>0</v>
      </c>
      <c r="H71" s="222">
        <f t="shared" si="20"/>
        <v>0</v>
      </c>
      <c r="I71" s="222">
        <f t="shared" si="20"/>
        <v>0</v>
      </c>
      <c r="J71" s="222">
        <f t="shared" si="20"/>
        <v>0</v>
      </c>
      <c r="K71" s="222">
        <f t="shared" si="20"/>
        <v>0</v>
      </c>
      <c r="L71" s="222">
        <f t="shared" si="20"/>
        <v>0</v>
      </c>
      <c r="M71" s="222">
        <f t="shared" si="20"/>
        <v>0</v>
      </c>
      <c r="N71" s="442"/>
    </row>
    <row r="72" spans="1:14" ht="10.5">
      <c r="A72" s="532" t="s">
        <v>394</v>
      </c>
      <c r="B72" s="533"/>
      <c r="C72" s="534">
        <f>+C70+Pressupostos!$B$37*(Avaliação!C71)</f>
        <v>0</v>
      </c>
      <c r="D72" s="534">
        <f>+D70+Pressupostos!$B$37*(Avaliação!D71)</f>
        <v>0</v>
      </c>
      <c r="E72" s="534">
        <f>+E70+Pressupostos!$B$37*(Avaliação!E71)</f>
        <v>0</v>
      </c>
      <c r="F72" s="534">
        <f>+F70+Pressupostos!$B$37*(Avaliação!F71)</f>
        <v>0</v>
      </c>
      <c r="G72" s="534">
        <f>+G70+Pressupostos!$B$37*(Avaliação!G71)</f>
        <v>0</v>
      </c>
      <c r="H72" s="534">
        <f>+H70+Pressupostos!$B$37*(Avaliação!H71)</f>
        <v>0</v>
      </c>
      <c r="I72" s="534">
        <f>+I70+Pressupostos!$B$37*(Avaliação!I71)</f>
        <v>0</v>
      </c>
      <c r="J72" s="534">
        <f>+J70+Pressupostos!$B$37*(Avaliação!J71)</f>
        <v>0</v>
      </c>
      <c r="K72" s="534">
        <f>+K70+Pressupostos!$B$37*(Avaliação!K71)</f>
        <v>0</v>
      </c>
      <c r="L72" s="534">
        <f>+L70+Pressupostos!$B$37*(Avaliação!L71)</f>
        <v>0</v>
      </c>
      <c r="M72" s="534">
        <f>+M70+Pressupostos!$B$37*(Avaliação!M71)</f>
        <v>0</v>
      </c>
      <c r="N72" s="442"/>
    </row>
    <row r="73" spans="1:14" ht="10.5">
      <c r="A73" s="473" t="s">
        <v>365</v>
      </c>
      <c r="B73" s="473"/>
      <c r="C73" s="480">
        <v>1</v>
      </c>
      <c r="D73" s="480">
        <f aca="true" t="shared" si="21" ref="D73:M73">+C73*(1+D72)</f>
        <v>1</v>
      </c>
      <c r="E73" s="480">
        <f t="shared" si="21"/>
        <v>1</v>
      </c>
      <c r="F73" s="480">
        <f t="shared" si="21"/>
        <v>1</v>
      </c>
      <c r="G73" s="480">
        <f t="shared" si="21"/>
        <v>1</v>
      </c>
      <c r="H73" s="480">
        <f t="shared" si="21"/>
        <v>1</v>
      </c>
      <c r="I73" s="480">
        <f t="shared" si="21"/>
        <v>1</v>
      </c>
      <c r="J73" s="480">
        <f t="shared" si="21"/>
        <v>1</v>
      </c>
      <c r="K73" s="480">
        <f t="shared" si="21"/>
        <v>1</v>
      </c>
      <c r="L73" s="480">
        <f t="shared" si="21"/>
        <v>1</v>
      </c>
      <c r="M73" s="480">
        <f t="shared" si="21"/>
        <v>1</v>
      </c>
      <c r="N73" s="442"/>
    </row>
    <row r="74" spans="1:37" s="43" customFormat="1" ht="10.5">
      <c r="A74" s="488" t="s">
        <v>399</v>
      </c>
      <c r="B74" s="485"/>
      <c r="C74" s="486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42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s="43" customFormat="1" ht="10.5">
      <c r="A75" s="489" t="s">
        <v>400</v>
      </c>
      <c r="B75" s="489"/>
      <c r="C75" s="490">
        <f>+Pressupostos!$B$33</f>
        <v>0</v>
      </c>
      <c r="D75" s="490">
        <f>+Pressupostos!$B$33</f>
        <v>0</v>
      </c>
      <c r="E75" s="490">
        <f>+Pressupostos!$B$33</f>
        <v>0</v>
      </c>
      <c r="F75" s="490">
        <f>+Pressupostos!$B$33</f>
        <v>0</v>
      </c>
      <c r="G75" s="490">
        <f>+Pressupostos!$B$33</f>
        <v>0</v>
      </c>
      <c r="H75" s="490">
        <f>+Pressupostos!$B$33</f>
        <v>0</v>
      </c>
      <c r="I75" s="490">
        <f>+Pressupostos!$B$33</f>
        <v>0</v>
      </c>
      <c r="J75" s="490">
        <f>+Pressupostos!$B$33</f>
        <v>0</v>
      </c>
      <c r="K75" s="490">
        <f>+Pressupostos!$B$33</f>
        <v>0</v>
      </c>
      <c r="L75" s="490">
        <f>+Pressupostos!$B$33</f>
        <v>0</v>
      </c>
      <c r="M75" s="490">
        <f>+Pressupostos!$B$33</f>
        <v>0</v>
      </c>
      <c r="N75" s="442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14" ht="11.25">
      <c r="A76" s="489" t="s">
        <v>401</v>
      </c>
      <c r="B76" s="489"/>
      <c r="C76" s="490">
        <f>+C75*(1-Pressupostos!$B$29)</f>
        <v>0</v>
      </c>
      <c r="D76" s="490">
        <f>+D75*(1-Pressupostos!$B$29)</f>
        <v>0</v>
      </c>
      <c r="E76" s="490">
        <f>+E75*(1-Pressupostos!$B$29)</f>
        <v>0</v>
      </c>
      <c r="F76" s="490">
        <f>+F75*(1-Pressupostos!$B$29)</f>
        <v>0</v>
      </c>
      <c r="G76" s="490">
        <f>+G75*(1-Pressupostos!$B$29)</f>
        <v>0</v>
      </c>
      <c r="H76" s="490">
        <f>+H75*(1-Pressupostos!$B$29)</f>
        <v>0</v>
      </c>
      <c r="I76" s="490">
        <f>+I75*(1-Pressupostos!$B$29)</f>
        <v>0</v>
      </c>
      <c r="J76" s="490">
        <f>+J75*(1-Pressupostos!$B$29)</f>
        <v>0</v>
      </c>
      <c r="K76" s="490">
        <f>+K75*(1-Pressupostos!$B$29)</f>
        <v>0</v>
      </c>
      <c r="L76" s="490">
        <f>+L75*(1-Pressupostos!$B$29)</f>
        <v>0</v>
      </c>
      <c r="M76" s="490">
        <f>+M75*(1-Pressupostos!$B$29)</f>
        <v>0</v>
      </c>
      <c r="N76" s="442"/>
    </row>
    <row r="77" spans="1:14" ht="10.5">
      <c r="A77" s="485"/>
      <c r="B77" s="485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42"/>
    </row>
    <row r="78" spans="1:14" ht="11.25">
      <c r="A78" s="479" t="s">
        <v>402</v>
      </c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42"/>
    </row>
    <row r="79" spans="1:14" ht="10.5">
      <c r="A79" s="491" t="s">
        <v>403</v>
      </c>
      <c r="B79" s="264" t="s">
        <v>404</v>
      </c>
      <c r="C79" s="258">
        <f>+C28</f>
        <v>2021</v>
      </c>
      <c r="D79" s="263">
        <f>+C79+1</f>
        <v>2022</v>
      </c>
      <c r="E79" s="263">
        <f>+D79+1</f>
        <v>2023</v>
      </c>
      <c r="F79" s="263">
        <f>+E79+1</f>
        <v>2024</v>
      </c>
      <c r="G79" s="263">
        <f aca="true" t="shared" si="22" ref="G79:M79">+F79+1</f>
        <v>2025</v>
      </c>
      <c r="H79" s="263">
        <f t="shared" si="22"/>
        <v>2026</v>
      </c>
      <c r="I79" s="263">
        <f t="shared" si="22"/>
        <v>2027</v>
      </c>
      <c r="J79" s="263">
        <f t="shared" si="22"/>
        <v>2028</v>
      </c>
      <c r="K79" s="263">
        <f t="shared" si="22"/>
        <v>2029</v>
      </c>
      <c r="L79" s="263">
        <f t="shared" si="22"/>
        <v>2030</v>
      </c>
      <c r="M79" s="263">
        <f t="shared" si="22"/>
        <v>2031</v>
      </c>
      <c r="N79" s="442"/>
    </row>
    <row r="80" spans="1:14" ht="10.5">
      <c r="A80" s="492" t="s">
        <v>150</v>
      </c>
      <c r="B80" s="493">
        <f>+Financiamento!C18</f>
        <v>4000000</v>
      </c>
      <c r="C80" s="494">
        <f>IF('DR'!B8&gt;0,Avaliação!B80,Balanço!C39+Balanço!C46)</f>
        <v>4000000</v>
      </c>
      <c r="D80" s="495">
        <f>Balanço!D39+Balanço!D46</f>
        <v>4000000</v>
      </c>
      <c r="E80" s="495">
        <f>Balanço!E39+Balanço!E46</f>
        <v>4000000</v>
      </c>
      <c r="F80" s="495">
        <f>Balanço!F39+Balanço!F46</f>
        <v>2666666.666666667</v>
      </c>
      <c r="G80" s="495">
        <f>Balanço!G39+Balanço!G46</f>
        <v>1333333.3333333337</v>
      </c>
      <c r="H80" s="495">
        <f>Balanço!H39+Balanço!H46</f>
        <v>10000000</v>
      </c>
      <c r="I80" s="495" t="e">
        <f>Balanço!I39+Balanço!I46</f>
        <v>#DIV/0!</v>
      </c>
      <c r="J80" s="495" t="e">
        <f>Balanço!J39+Balanço!J46</f>
        <v>#DIV/0!</v>
      </c>
      <c r="K80" s="495" t="e">
        <f>Balanço!K39+Balanço!K46</f>
        <v>#DIV/0!</v>
      </c>
      <c r="L80" s="495" t="e">
        <f>Balanço!L39+Balanço!L46</f>
        <v>#DIV/0!</v>
      </c>
      <c r="M80" s="495" t="e">
        <f>Balanço!M39+Balanço!M46</f>
        <v>#DIV/0!</v>
      </c>
      <c r="N80" s="442"/>
    </row>
    <row r="81" spans="1:16" ht="10.5">
      <c r="A81" s="492" t="s">
        <v>135</v>
      </c>
      <c r="B81" s="496">
        <f>+Financiamento!C15+Financiamento!C16</f>
        <v>120000</v>
      </c>
      <c r="C81" s="494">
        <f>IF('DR'!B8&gt;0,Avaliação!B81,Balanço!C33)</f>
        <v>120000</v>
      </c>
      <c r="D81" s="495">
        <f>+Balanço!D33</f>
        <v>36911241.81484</v>
      </c>
      <c r="E81" s="495">
        <f>+Balanço!E33</f>
        <v>75237837.2515522</v>
      </c>
      <c r="F81" s="495">
        <f>+Balanço!F33</f>
        <v>120513927.6270915</v>
      </c>
      <c r="G81" s="495">
        <f>+Balanço!G33</f>
        <v>167439622.14765063</v>
      </c>
      <c r="H81" s="495">
        <f>+Balanço!H33</f>
        <v>216284442.00180668</v>
      </c>
      <c r="I81" s="495">
        <f>+Balanço!I33</f>
        <v>268809066.1085609</v>
      </c>
      <c r="J81" s="495" t="e">
        <f>+Balanço!J33</f>
        <v>#DIV/0!</v>
      </c>
      <c r="K81" s="495" t="e">
        <f>+Balanço!K33</f>
        <v>#DIV/0!</v>
      </c>
      <c r="L81" s="495" t="e">
        <f>+Balanço!L33</f>
        <v>#DIV/0!</v>
      </c>
      <c r="M81" s="495" t="e">
        <f>+Balanço!M33</f>
        <v>#DIV/0!</v>
      </c>
      <c r="N81" s="442"/>
      <c r="P81" s="505"/>
    </row>
    <row r="82" spans="1:14" ht="10.5">
      <c r="A82" s="497" t="s">
        <v>30</v>
      </c>
      <c r="B82" s="498">
        <f>+B81+B80</f>
        <v>4120000</v>
      </c>
      <c r="C82" s="495">
        <f>+C80+C81</f>
        <v>4120000</v>
      </c>
      <c r="D82" s="495">
        <f>+D80+D81</f>
        <v>40911241.81484</v>
      </c>
      <c r="E82" s="495">
        <f aca="true" t="shared" si="23" ref="E82:L82">+E80+E81</f>
        <v>79237837.2515522</v>
      </c>
      <c r="F82" s="495">
        <f t="shared" si="23"/>
        <v>123180594.29375817</v>
      </c>
      <c r="G82" s="495">
        <f t="shared" si="23"/>
        <v>168772955.48098397</v>
      </c>
      <c r="H82" s="495">
        <f t="shared" si="23"/>
        <v>226284442.00180668</v>
      </c>
      <c r="I82" s="495" t="e">
        <f t="shared" si="23"/>
        <v>#DIV/0!</v>
      </c>
      <c r="J82" s="495" t="e">
        <f t="shared" si="23"/>
        <v>#DIV/0!</v>
      </c>
      <c r="K82" s="495" t="e">
        <f t="shared" si="23"/>
        <v>#DIV/0!</v>
      </c>
      <c r="L82" s="495" t="e">
        <f t="shared" si="23"/>
        <v>#DIV/0!</v>
      </c>
      <c r="M82" s="495" t="e">
        <f>+M80+M81</f>
        <v>#DIV/0!</v>
      </c>
      <c r="N82" s="442"/>
    </row>
    <row r="83" spans="1:14" ht="10.5">
      <c r="A83" s="492" t="s">
        <v>366</v>
      </c>
      <c r="B83" s="492"/>
      <c r="C83" s="499">
        <f>IF(C$82=0,0,+C80/C$82)</f>
        <v>0.970873786407767</v>
      </c>
      <c r="D83" s="499">
        <f aca="true" t="shared" si="24" ref="D83:M83">IF(D$82=0,0,+D80/D$82)</f>
        <v>0.0977726371177776</v>
      </c>
      <c r="E83" s="499">
        <f t="shared" si="24"/>
        <v>0.05048093358860124</v>
      </c>
      <c r="F83" s="499">
        <f t="shared" si="24"/>
        <v>0.02164843157281141</v>
      </c>
      <c r="G83" s="499">
        <f t="shared" si="24"/>
        <v>0.007900159889559813</v>
      </c>
      <c r="H83" s="499">
        <f t="shared" si="24"/>
        <v>0.04419216766091307</v>
      </c>
      <c r="I83" s="499" t="e">
        <f t="shared" si="24"/>
        <v>#DIV/0!</v>
      </c>
      <c r="J83" s="499" t="e">
        <f t="shared" si="24"/>
        <v>#DIV/0!</v>
      </c>
      <c r="K83" s="499" t="e">
        <f t="shared" si="24"/>
        <v>#DIV/0!</v>
      </c>
      <c r="L83" s="499" t="e">
        <f t="shared" si="24"/>
        <v>#DIV/0!</v>
      </c>
      <c r="M83" s="499" t="e">
        <f t="shared" si="24"/>
        <v>#DIV/0!</v>
      </c>
      <c r="N83" s="442"/>
    </row>
    <row r="84" spans="1:14" ht="10.5">
      <c r="A84" s="492" t="s">
        <v>149</v>
      </c>
      <c r="B84" s="492"/>
      <c r="C84" s="499">
        <f>IF(C$82=0,0,+C81/C$82)</f>
        <v>0.02912621359223301</v>
      </c>
      <c r="D84" s="499">
        <f aca="true" t="shared" si="25" ref="D84:M84">IF(D$82=0,0,+D81/D$82)</f>
        <v>0.9022273628822224</v>
      </c>
      <c r="E84" s="499">
        <f t="shared" si="25"/>
        <v>0.9495190664113987</v>
      </c>
      <c r="F84" s="499">
        <f t="shared" si="25"/>
        <v>0.9783515684271885</v>
      </c>
      <c r="G84" s="499">
        <f t="shared" si="25"/>
        <v>0.9920998401104402</v>
      </c>
      <c r="H84" s="499">
        <f t="shared" si="25"/>
        <v>0.955807832339087</v>
      </c>
      <c r="I84" s="499" t="e">
        <f t="shared" si="25"/>
        <v>#DIV/0!</v>
      </c>
      <c r="J84" s="499" t="e">
        <f t="shared" si="25"/>
        <v>#DIV/0!</v>
      </c>
      <c r="K84" s="499" t="e">
        <f t="shared" si="25"/>
        <v>#DIV/0!</v>
      </c>
      <c r="L84" s="499" t="e">
        <f t="shared" si="25"/>
        <v>#DIV/0!</v>
      </c>
      <c r="M84" s="499" t="e">
        <f t="shared" si="25"/>
        <v>#DIV/0!</v>
      </c>
      <c r="N84" s="442"/>
    </row>
    <row r="85" spans="1:14" ht="10.5">
      <c r="A85" s="43"/>
      <c r="B85" s="43"/>
      <c r="C85" s="501" t="s">
        <v>405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2"/>
    </row>
    <row r="86" spans="1:16" ht="10.5">
      <c r="A86" s="43"/>
      <c r="B86" s="43"/>
      <c r="C86" s="500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2"/>
      <c r="P86" s="504"/>
    </row>
    <row r="87" spans="1:14" ht="11.25">
      <c r="A87" s="479" t="s">
        <v>406</v>
      </c>
      <c r="B87" s="43"/>
      <c r="C87" s="500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2"/>
    </row>
    <row r="88" spans="1:14" ht="10.5">
      <c r="A88" s="117" t="s">
        <v>407</v>
      </c>
      <c r="B88" s="221"/>
      <c r="C88" s="502">
        <f aca="true" t="shared" si="26" ref="C88:M88">+C72</f>
        <v>0</v>
      </c>
      <c r="D88" s="502">
        <f t="shared" si="26"/>
        <v>0</v>
      </c>
      <c r="E88" s="502">
        <f t="shared" si="26"/>
        <v>0</v>
      </c>
      <c r="F88" s="502">
        <f t="shared" si="26"/>
        <v>0</v>
      </c>
      <c r="G88" s="502">
        <f t="shared" si="26"/>
        <v>0</v>
      </c>
      <c r="H88" s="502">
        <f t="shared" si="26"/>
        <v>0</v>
      </c>
      <c r="I88" s="502">
        <f t="shared" si="26"/>
        <v>0</v>
      </c>
      <c r="J88" s="502">
        <f t="shared" si="26"/>
        <v>0</v>
      </c>
      <c r="K88" s="502">
        <f t="shared" si="26"/>
        <v>0</v>
      </c>
      <c r="L88" s="502">
        <f t="shared" si="26"/>
        <v>0</v>
      </c>
      <c r="M88" s="502">
        <f t="shared" si="26"/>
        <v>0</v>
      </c>
      <c r="N88" s="442"/>
    </row>
    <row r="89" spans="1:14" ht="10.5">
      <c r="A89" s="117" t="s">
        <v>408</v>
      </c>
      <c r="B89" s="221"/>
      <c r="C89" s="503">
        <f>+C76</f>
        <v>0</v>
      </c>
      <c r="D89" s="503">
        <f aca="true" t="shared" si="27" ref="D89:M89">+D76</f>
        <v>0</v>
      </c>
      <c r="E89" s="503">
        <f t="shared" si="27"/>
        <v>0</v>
      </c>
      <c r="F89" s="503">
        <f t="shared" si="27"/>
        <v>0</v>
      </c>
      <c r="G89" s="503">
        <f t="shared" si="27"/>
        <v>0</v>
      </c>
      <c r="H89" s="503">
        <f t="shared" si="27"/>
        <v>0</v>
      </c>
      <c r="I89" s="503">
        <f t="shared" si="27"/>
        <v>0</v>
      </c>
      <c r="J89" s="503">
        <f t="shared" si="27"/>
        <v>0</v>
      </c>
      <c r="K89" s="503">
        <f t="shared" si="27"/>
        <v>0</v>
      </c>
      <c r="L89" s="503">
        <f t="shared" si="27"/>
        <v>0</v>
      </c>
      <c r="M89" s="503">
        <f t="shared" si="27"/>
        <v>0</v>
      </c>
      <c r="N89" s="442"/>
    </row>
    <row r="90" spans="1:14" ht="10.5">
      <c r="A90" s="507" t="s">
        <v>409</v>
      </c>
      <c r="B90" s="221"/>
      <c r="C90" s="506">
        <f>+C88*C84+C89*C83</f>
        <v>0</v>
      </c>
      <c r="D90" s="506">
        <f aca="true" t="shared" si="28" ref="D90:M90">+D88*D84+D89*D83</f>
        <v>0</v>
      </c>
      <c r="E90" s="506">
        <f t="shared" si="28"/>
        <v>0</v>
      </c>
      <c r="F90" s="506">
        <f t="shared" si="28"/>
        <v>0</v>
      </c>
      <c r="G90" s="506">
        <f t="shared" si="28"/>
        <v>0</v>
      </c>
      <c r="H90" s="506">
        <f t="shared" si="28"/>
        <v>0</v>
      </c>
      <c r="I90" s="506" t="e">
        <f t="shared" si="28"/>
        <v>#DIV/0!</v>
      </c>
      <c r="J90" s="506" t="e">
        <f t="shared" si="28"/>
        <v>#DIV/0!</v>
      </c>
      <c r="K90" s="506" t="e">
        <f t="shared" si="28"/>
        <v>#DIV/0!</v>
      </c>
      <c r="L90" s="506" t="e">
        <f t="shared" si="28"/>
        <v>#DIV/0!</v>
      </c>
      <c r="M90" s="506" t="e">
        <f t="shared" si="28"/>
        <v>#DIV/0!</v>
      </c>
      <c r="N90" s="442"/>
    </row>
    <row r="91" spans="1:14" ht="10.5">
      <c r="A91" s="116"/>
      <c r="B91" s="43"/>
      <c r="C91" s="436" t="s">
        <v>414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2"/>
    </row>
    <row r="92" spans="1:14" ht="11.25" hidden="1">
      <c r="A92" s="508" t="s">
        <v>410</v>
      </c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625" t="s">
        <v>413</v>
      </c>
    </row>
    <row r="93" spans="1:14" ht="10.5" hidden="1">
      <c r="A93" s="509" t="s">
        <v>411</v>
      </c>
      <c r="B93" s="371"/>
      <c r="C93" s="437">
        <f>+Pressupostos!$B$37*(1+(1-Pressupostos!$B$29)*(Avaliação!C80/Avaliação!C81))</f>
        <v>27.333333333333336</v>
      </c>
      <c r="D93" s="437">
        <f>+Pressupostos!$B$37*(1+(1-Pressupostos!$B$29)*(Avaliação!D80/Avaliação!D81))</f>
        <v>1.0856107745128623</v>
      </c>
      <c r="E93" s="437">
        <f>+Pressupostos!$B$37*(1+(1-Pressupostos!$B$29)*(Avaliação!E80/Avaliação!E81))</f>
        <v>1.0420001440157667</v>
      </c>
      <c r="F93" s="437">
        <f>+Pressupostos!$B$37*(1+(1-Pressupostos!$B$29)*(Avaliação!F80/Avaliação!F81))</f>
        <v>1.017480690474095</v>
      </c>
      <c r="G93" s="437">
        <f>+Pressupostos!$B$37*(1+(1-Pressupostos!$B$29)*(Avaliação!G80/Avaliação!G81))</f>
        <v>1.0062908248347842</v>
      </c>
      <c r="H93" s="437">
        <f>+Pressupostos!$B$37*(1+(1-Pressupostos!$B$29)*(Avaliação!H80/Avaliação!H81))</f>
        <v>1.0365259744384852</v>
      </c>
      <c r="I93" s="437" t="e">
        <f>+Pressupostos!$B$37*(1+(1-Pressupostos!$B$29)*(Avaliação!I80/Avaliação!I81))</f>
        <v>#DIV/0!</v>
      </c>
      <c r="J93" s="437" t="e">
        <f>+Pressupostos!$B$37*(1+(1-Pressupostos!$B$29)*(Avaliação!J80/Avaliação!J81))</f>
        <v>#DIV/0!</v>
      </c>
      <c r="K93" s="437" t="e">
        <f>+Pressupostos!$B$37*(1+(1-Pressupostos!$B$29)*(Avaliação!K80/Avaliação!K81))</f>
        <v>#DIV/0!</v>
      </c>
      <c r="L93" s="437" t="e">
        <f>+Pressupostos!$B$37*(1+(1-Pressupostos!$B$29)*(Avaliação!L80/Avaliação!L81))</f>
        <v>#DIV/0!</v>
      </c>
      <c r="M93" s="437" t="e">
        <f>+Pressupostos!$B$37*(1+(1-Pressupostos!$B$29)*(Avaliação!M80/Avaliação!M81))</f>
        <v>#DIV/0!</v>
      </c>
      <c r="N93" s="625"/>
    </row>
    <row r="94" spans="1:14" ht="10.5" hidden="1">
      <c r="A94" s="260"/>
      <c r="B94" s="260"/>
      <c r="C94" s="510" t="s">
        <v>228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625"/>
    </row>
    <row r="95" spans="1:14" ht="10.5" hidden="1">
      <c r="A95" s="262" t="s">
        <v>412</v>
      </c>
      <c r="B95" s="262"/>
      <c r="C95" s="511">
        <f>(C70+(C93*C71))</f>
        <v>0</v>
      </c>
      <c r="D95" s="511">
        <f aca="true" t="shared" si="29" ref="D95:M95">(D70+(D93*D71))</f>
        <v>0</v>
      </c>
      <c r="E95" s="511">
        <f t="shared" si="29"/>
        <v>0</v>
      </c>
      <c r="F95" s="511">
        <f t="shared" si="29"/>
        <v>0</v>
      </c>
      <c r="G95" s="511">
        <f t="shared" si="29"/>
        <v>0</v>
      </c>
      <c r="H95" s="511">
        <f t="shared" si="29"/>
        <v>0</v>
      </c>
      <c r="I95" s="511" t="e">
        <f t="shared" si="29"/>
        <v>#DIV/0!</v>
      </c>
      <c r="J95" s="511" t="e">
        <f t="shared" si="29"/>
        <v>#DIV/0!</v>
      </c>
      <c r="K95" s="511" t="e">
        <f t="shared" si="29"/>
        <v>#DIV/0!</v>
      </c>
      <c r="L95" s="511" t="e">
        <f t="shared" si="29"/>
        <v>#DIV/0!</v>
      </c>
      <c r="M95" s="511" t="e">
        <f t="shared" si="29"/>
        <v>#DIV/0!</v>
      </c>
      <c r="N95" s="625"/>
    </row>
    <row r="96" spans="1:14" ht="10.5" hidden="1">
      <c r="A96" s="261" t="s">
        <v>370</v>
      </c>
      <c r="B96" s="369"/>
      <c r="C96" s="512">
        <f>(C83*C76)+(C84*C95)</f>
        <v>0</v>
      </c>
      <c r="D96" s="512">
        <f aca="true" t="shared" si="30" ref="D96:M96">(D83*D76)+(D84*D95)</f>
        <v>0</v>
      </c>
      <c r="E96" s="512">
        <f t="shared" si="30"/>
        <v>0</v>
      </c>
      <c r="F96" s="512">
        <f t="shared" si="30"/>
        <v>0</v>
      </c>
      <c r="G96" s="512">
        <f t="shared" si="30"/>
        <v>0</v>
      </c>
      <c r="H96" s="512">
        <f t="shared" si="30"/>
        <v>0</v>
      </c>
      <c r="I96" s="512" t="e">
        <f t="shared" si="30"/>
        <v>#DIV/0!</v>
      </c>
      <c r="J96" s="512" t="e">
        <f t="shared" si="30"/>
        <v>#DIV/0!</v>
      </c>
      <c r="K96" s="512" t="e">
        <f t="shared" si="30"/>
        <v>#DIV/0!</v>
      </c>
      <c r="L96" s="512" t="e">
        <f t="shared" si="30"/>
        <v>#DIV/0!</v>
      </c>
      <c r="M96" s="512" t="e">
        <f t="shared" si="30"/>
        <v>#DIV/0!</v>
      </c>
      <c r="N96" s="625"/>
    </row>
    <row r="97" spans="1:14" ht="10.5" hidden="1">
      <c r="A97" s="43"/>
      <c r="B97" s="157"/>
      <c r="C97" s="436" t="s">
        <v>414</v>
      </c>
      <c r="D97" s="157"/>
      <c r="E97" s="157"/>
      <c r="F97" s="157"/>
      <c r="G97" s="157"/>
      <c r="H97" s="157"/>
      <c r="I97" s="157"/>
      <c r="J97" s="157"/>
      <c r="K97" s="157"/>
      <c r="L97" s="43"/>
      <c r="M97" s="43"/>
      <c r="N97" s="43"/>
    </row>
    <row r="98" spans="1:14" ht="10.5" hidden="1">
      <c r="A98" s="43"/>
      <c r="B98" s="157"/>
      <c r="C98" s="436"/>
      <c r="D98" s="157"/>
      <c r="E98" s="157"/>
      <c r="F98" s="157"/>
      <c r="G98" s="157"/>
      <c r="H98" s="157"/>
      <c r="I98" s="157"/>
      <c r="J98" s="157"/>
      <c r="K98" s="157"/>
      <c r="L98" s="43"/>
      <c r="M98" s="43"/>
      <c r="N98" s="43"/>
    </row>
  </sheetData>
  <sheetProtection password="8318" sheet="1"/>
  <mergeCells count="14">
    <mergeCell ref="A4:N4"/>
    <mergeCell ref="A49:B49"/>
    <mergeCell ref="A7:B7"/>
    <mergeCell ref="P20:R20"/>
    <mergeCell ref="P40:R40"/>
    <mergeCell ref="P61:R61"/>
    <mergeCell ref="P38:R38"/>
    <mergeCell ref="P59:R59"/>
    <mergeCell ref="A28:B28"/>
    <mergeCell ref="O8:O10"/>
    <mergeCell ref="O29:O31"/>
    <mergeCell ref="O50:O52"/>
    <mergeCell ref="N92:N96"/>
    <mergeCell ref="P62:R62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4"/>
  <headerFooter alignWithMargins="0">
    <oddFooter>&amp;C&amp;"Arial,Normal"&amp;8IAPMEI&amp;R&amp;"Arial,Normal"&amp;8&amp;P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6"/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0"/>
  <sheetViews>
    <sheetView showGridLines="0" zoomScalePageLayoutView="0" workbookViewId="0" topLeftCell="A26">
      <selection activeCell="C37" sqref="C37:E37"/>
    </sheetView>
  </sheetViews>
  <sheetFormatPr defaultColWidth="9.140625" defaultRowHeight="12.75"/>
  <cols>
    <col min="1" max="1" width="39.7109375" style="9" customWidth="1"/>
    <col min="2" max="2" width="21.28125" style="9" customWidth="1"/>
    <col min="3" max="3" width="15.7109375" style="9" customWidth="1"/>
    <col min="4" max="4" width="16.421875" style="9" customWidth="1"/>
    <col min="5" max="5" width="13.7109375" style="9" customWidth="1"/>
    <col min="6" max="16384" width="8.7109375" style="9" customWidth="1"/>
  </cols>
  <sheetData>
    <row r="1" spans="1:5" ht="12.75">
      <c r="A1" s="13"/>
      <c r="B1" s="14"/>
      <c r="C1" s="14"/>
      <c r="D1" s="382" t="s">
        <v>44</v>
      </c>
      <c r="E1" s="383" t="s">
        <v>422</v>
      </c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5.75">
      <c r="A4" s="535" t="s">
        <v>4</v>
      </c>
      <c r="B4" s="535"/>
      <c r="C4" s="535"/>
      <c r="D4" s="535"/>
      <c r="E4" s="535"/>
    </row>
    <row r="5" spans="1:5" ht="12.75">
      <c r="A5" s="4"/>
      <c r="B5" s="4"/>
      <c r="C5" s="4"/>
      <c r="D5" s="4"/>
      <c r="E5" s="1"/>
    </row>
    <row r="6" spans="1:5" ht="15.75">
      <c r="A6" s="539"/>
      <c r="B6" s="539"/>
      <c r="C6" s="539"/>
      <c r="D6" s="539"/>
      <c r="E6" s="539"/>
    </row>
    <row r="7" spans="1:5" ht="12.75">
      <c r="A7" s="4"/>
      <c r="B7" s="4"/>
      <c r="C7" s="4"/>
      <c r="D7" s="4"/>
      <c r="E7" s="1"/>
    </row>
    <row r="8" spans="1:5" ht="12.75">
      <c r="A8" s="4"/>
      <c r="B8" s="4"/>
      <c r="C8" s="15"/>
      <c r="D8" s="16"/>
      <c r="E8" s="17"/>
    </row>
    <row r="9" spans="1:5" ht="12.75">
      <c r="A9" s="5" t="s">
        <v>36</v>
      </c>
      <c r="B9" s="390" t="s">
        <v>136</v>
      </c>
      <c r="C9" s="15"/>
      <c r="D9" s="16"/>
      <c r="E9" s="17"/>
    </row>
    <row r="10" spans="1:5" ht="12.75">
      <c r="A10" s="2"/>
      <c r="B10" s="339"/>
      <c r="C10" s="15"/>
      <c r="D10" s="16"/>
      <c r="E10" s="17"/>
    </row>
    <row r="11" spans="1:5" ht="12.75">
      <c r="A11" s="5" t="s">
        <v>235</v>
      </c>
      <c r="B11" s="385">
        <v>2021</v>
      </c>
      <c r="C11" s="391"/>
      <c r="D11" s="16"/>
      <c r="E11" s="17"/>
    </row>
    <row r="12" spans="1:5" ht="12.75">
      <c r="A12" s="384" t="s">
        <v>227</v>
      </c>
      <c r="B12" s="386" t="s">
        <v>226</v>
      </c>
      <c r="C12" s="357" t="s">
        <v>224</v>
      </c>
      <c r="D12" s="16"/>
      <c r="E12" s="17"/>
    </row>
    <row r="13" spans="1:5" ht="12.75">
      <c r="A13" s="5" t="s">
        <v>236</v>
      </c>
      <c r="B13" s="385">
        <v>30</v>
      </c>
      <c r="C13" s="392">
        <f>+B13/30</f>
        <v>1</v>
      </c>
      <c r="D13" s="551"/>
      <c r="E13" s="17"/>
    </row>
    <row r="14" spans="1:5" ht="12.75">
      <c r="A14" s="5" t="s">
        <v>237</v>
      </c>
      <c r="B14" s="387">
        <v>30</v>
      </c>
      <c r="C14" s="392">
        <f>+B14/30</f>
        <v>1</v>
      </c>
      <c r="D14" s="551"/>
      <c r="E14" s="17"/>
    </row>
    <row r="15" spans="1:5" ht="12.75">
      <c r="A15" s="5" t="s">
        <v>238</v>
      </c>
      <c r="B15" s="387">
        <v>15</v>
      </c>
      <c r="C15" s="392">
        <f>+B15/30</f>
        <v>0.5</v>
      </c>
      <c r="D15" s="551"/>
      <c r="E15" s="17"/>
    </row>
    <row r="16" spans="1:5" ht="12.75">
      <c r="A16" s="395" t="s">
        <v>368</v>
      </c>
      <c r="B16" s="387">
        <v>4</v>
      </c>
      <c r="C16" s="393">
        <f>+B16</f>
        <v>4</v>
      </c>
      <c r="D16" s="444" t="s">
        <v>376</v>
      </c>
      <c r="E16" s="17"/>
    </row>
    <row r="17" spans="1:5" ht="12.75">
      <c r="A17" s="2"/>
      <c r="B17" s="388"/>
      <c r="C17" s="15"/>
      <c r="D17" s="16"/>
      <c r="E17" s="17"/>
    </row>
    <row r="18" spans="1:5" ht="12.75">
      <c r="A18" s="5" t="s">
        <v>120</v>
      </c>
      <c r="B18" s="389">
        <v>0.06</v>
      </c>
      <c r="C18" s="550"/>
      <c r="D18" s="18"/>
      <c r="E18" s="19"/>
    </row>
    <row r="19" spans="1:5" ht="12.75">
      <c r="A19" s="5" t="s">
        <v>121</v>
      </c>
      <c r="B19" s="389">
        <v>0.23</v>
      </c>
      <c r="C19" s="550"/>
      <c r="D19" s="18"/>
      <c r="E19" s="19"/>
    </row>
    <row r="20" spans="1:5" ht="12.75">
      <c r="A20" s="5" t="s">
        <v>81</v>
      </c>
      <c r="B20" s="389">
        <v>0.23</v>
      </c>
      <c r="C20" s="550"/>
      <c r="D20" s="18"/>
      <c r="E20" s="19"/>
    </row>
    <row r="21" spans="1:5" ht="12.75">
      <c r="A21" s="5" t="s">
        <v>82</v>
      </c>
      <c r="B21" s="389">
        <v>0.23</v>
      </c>
      <c r="C21" s="550"/>
      <c r="D21" s="18"/>
      <c r="E21" s="19"/>
    </row>
    <row r="22" spans="1:5" ht="12.75">
      <c r="A22" s="5" t="s">
        <v>148</v>
      </c>
      <c r="B22" s="389">
        <v>0.23</v>
      </c>
      <c r="C22" s="550"/>
      <c r="D22" s="18"/>
      <c r="E22" s="19"/>
    </row>
    <row r="23" spans="1:5" ht="12.75">
      <c r="A23" s="2"/>
      <c r="B23" s="388"/>
      <c r="C23" s="15"/>
      <c r="D23" s="16"/>
      <c r="E23" s="17"/>
    </row>
    <row r="24" spans="1:5" ht="12.75">
      <c r="A24" s="5" t="s">
        <v>206</v>
      </c>
      <c r="B24" s="389">
        <v>0.2375</v>
      </c>
      <c r="C24" s="549"/>
      <c r="D24" s="16"/>
      <c r="E24" s="17"/>
    </row>
    <row r="25" spans="1:5" ht="12.75">
      <c r="A25" s="5" t="s">
        <v>207</v>
      </c>
      <c r="B25" s="389">
        <v>0.2375</v>
      </c>
      <c r="C25" s="549"/>
      <c r="D25" s="16"/>
      <c r="E25" s="17"/>
    </row>
    <row r="26" spans="1:5" ht="12.75">
      <c r="A26" s="5" t="s">
        <v>208</v>
      </c>
      <c r="B26" s="389">
        <v>0.11</v>
      </c>
      <c r="C26" s="549"/>
      <c r="D26" s="16"/>
      <c r="E26" s="17"/>
    </row>
    <row r="27" spans="1:5" ht="12.75">
      <c r="A27" s="5" t="s">
        <v>209</v>
      </c>
      <c r="B27" s="389">
        <v>0.11</v>
      </c>
      <c r="C27" s="549"/>
      <c r="D27" s="16"/>
      <c r="E27" s="17"/>
    </row>
    <row r="28" spans="1:5" ht="12.75">
      <c r="A28" s="5" t="s">
        <v>64</v>
      </c>
      <c r="B28" s="396">
        <v>0.15</v>
      </c>
      <c r="C28" s="391"/>
      <c r="D28" s="16"/>
      <c r="E28" s="17"/>
    </row>
    <row r="29" spans="1:5" ht="13.5" customHeight="1">
      <c r="A29" s="5" t="s">
        <v>67</v>
      </c>
      <c r="B29" s="396">
        <v>0.21</v>
      </c>
      <c r="C29" s="391"/>
      <c r="D29" s="16"/>
      <c r="E29" s="17"/>
    </row>
    <row r="30" spans="1:5" ht="12.75">
      <c r="A30" s="2"/>
      <c r="B30" s="339"/>
      <c r="C30" s="15"/>
      <c r="D30" s="16"/>
      <c r="E30" s="17"/>
    </row>
    <row r="31" spans="1:5" ht="12.75">
      <c r="A31" s="5" t="s">
        <v>147</v>
      </c>
      <c r="B31" s="340"/>
      <c r="C31" s="552"/>
      <c r="D31" s="16"/>
      <c r="E31" s="17"/>
    </row>
    <row r="32" spans="1:5" ht="12.75">
      <c r="A32" s="5" t="s">
        <v>230</v>
      </c>
      <c r="B32" s="340"/>
      <c r="C32" s="552"/>
      <c r="D32" s="16"/>
      <c r="E32" s="17"/>
    </row>
    <row r="33" spans="1:5" ht="12.75">
      <c r="A33" s="5" t="s">
        <v>231</v>
      </c>
      <c r="B33" s="340"/>
      <c r="C33" s="552"/>
      <c r="D33" s="16"/>
      <c r="E33" s="17"/>
    </row>
    <row r="34" spans="1:5" ht="12.75">
      <c r="A34" s="4"/>
      <c r="B34" s="341"/>
      <c r="C34" s="15"/>
      <c r="D34" s="16"/>
      <c r="E34" s="17"/>
    </row>
    <row r="35" spans="1:5" ht="12.75">
      <c r="A35" s="5" t="s">
        <v>232</v>
      </c>
      <c r="B35" s="394"/>
      <c r="C35" s="536"/>
      <c r="D35" s="537"/>
      <c r="E35" s="538"/>
    </row>
    <row r="36" spans="1:5" ht="12.75">
      <c r="A36" s="5" t="s">
        <v>377</v>
      </c>
      <c r="B36" s="394"/>
      <c r="C36" s="536"/>
      <c r="D36" s="537"/>
      <c r="E36" s="538"/>
    </row>
    <row r="37" spans="1:5" ht="12.75">
      <c r="A37" s="5" t="s">
        <v>378</v>
      </c>
      <c r="B37" s="394">
        <v>1</v>
      </c>
      <c r="C37" s="536"/>
      <c r="D37" s="537"/>
      <c r="E37" s="538"/>
    </row>
    <row r="38" spans="1:5" ht="12.75">
      <c r="A38" s="5" t="s">
        <v>233</v>
      </c>
      <c r="B38" s="527">
        <v>0</v>
      </c>
      <c r="C38" s="540"/>
      <c r="D38" s="541"/>
      <c r="E38" s="542"/>
    </row>
    <row r="39" spans="1:5" ht="12.75">
      <c r="A39" s="4" t="s">
        <v>234</v>
      </c>
      <c r="B39" s="4"/>
      <c r="C39" s="543"/>
      <c r="D39" s="544"/>
      <c r="E39" s="545"/>
    </row>
    <row r="40" spans="1:5" ht="12.75">
      <c r="A40" s="445"/>
      <c r="B40" s="4"/>
      <c r="C40" s="546"/>
      <c r="D40" s="547"/>
      <c r="E40" s="548"/>
    </row>
    <row r="41" spans="1:5" ht="12.75">
      <c r="A41" s="7"/>
      <c r="B41" s="4"/>
      <c r="C41" s="15"/>
      <c r="D41" s="16"/>
      <c r="E41" s="17"/>
    </row>
    <row r="42" spans="1:5" ht="12.75">
      <c r="A42" s="4"/>
      <c r="B42" s="4"/>
      <c r="C42" s="15"/>
      <c r="D42" s="16"/>
      <c r="E42" s="17"/>
    </row>
    <row r="43" spans="1:5" ht="13.5">
      <c r="A43" s="446"/>
      <c r="B43" s="553"/>
      <c r="C43" s="553"/>
      <c r="D43" s="553"/>
      <c r="E43" s="553"/>
    </row>
    <row r="44" spans="1:5" ht="12" customHeight="1">
      <c r="A44" s="554" t="s">
        <v>437</v>
      </c>
      <c r="B44" s="554"/>
      <c r="C44" s="554"/>
      <c r="D44" s="554"/>
      <c r="E44" s="554"/>
    </row>
    <row r="45" spans="1:5" ht="12.75">
      <c r="A45" s="374"/>
      <c r="B45" s="374"/>
      <c r="C45" s="374"/>
      <c r="D45" s="374"/>
      <c r="E45" s="374"/>
    </row>
    <row r="46" spans="1:5" ht="12.75">
      <c r="A46" s="374"/>
      <c r="B46" s="374"/>
      <c r="C46" s="374"/>
      <c r="D46" s="374"/>
      <c r="E46" s="374"/>
    </row>
    <row r="47" spans="1:5" ht="12.75">
      <c r="A47" s="374"/>
      <c r="B47" s="374"/>
      <c r="C47" s="374"/>
      <c r="D47" s="374"/>
      <c r="E47" s="374"/>
    </row>
    <row r="48" spans="1:5" ht="12.75">
      <c r="A48" s="374"/>
      <c r="B48" s="374"/>
      <c r="C48" s="374"/>
      <c r="D48" s="374"/>
      <c r="E48" s="374"/>
    </row>
    <row r="49" spans="1:5" ht="12.75">
      <c r="A49" s="376"/>
      <c r="B49" s="376"/>
      <c r="C49" s="376"/>
      <c r="D49" s="376"/>
      <c r="E49" s="376"/>
    </row>
    <row r="50" spans="1:5" ht="12">
      <c r="A50" s="375"/>
      <c r="B50" s="375"/>
      <c r="C50" s="375"/>
      <c r="D50" s="375"/>
      <c r="E50" s="375"/>
    </row>
    <row r="51" spans="1:5" ht="10.5">
      <c r="A51" s="372"/>
      <c r="B51" s="372"/>
      <c r="C51" s="372"/>
      <c r="D51" s="372"/>
      <c r="E51" s="372"/>
    </row>
    <row r="52" spans="1:5" ht="11.25">
      <c r="A52" s="373"/>
      <c r="B52" s="373"/>
      <c r="C52" s="373"/>
      <c r="D52" s="373"/>
      <c r="E52" s="373"/>
    </row>
    <row r="53" spans="1:18" ht="10.5">
      <c r="A53" s="372"/>
      <c r="B53" s="372"/>
      <c r="C53" s="372"/>
      <c r="D53" s="372"/>
      <c r="E53" s="37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0.5">
      <c r="A54" s="372"/>
      <c r="B54" s="372"/>
      <c r="C54" s="372"/>
      <c r="D54" s="372"/>
      <c r="E54" s="37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0.5">
      <c r="A55" s="372"/>
      <c r="B55" s="372"/>
      <c r="C55" s="372"/>
      <c r="D55" s="372"/>
      <c r="E55" s="37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0.5">
      <c r="A56" s="10"/>
      <c r="B56" s="10"/>
      <c r="C56" s="10"/>
      <c r="D56" s="12"/>
      <c r="E56" s="10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0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0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0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0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sheetProtection/>
  <mergeCells count="12">
    <mergeCell ref="B43:E43"/>
    <mergeCell ref="A44:E44"/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4"/>
  <headerFooter alignWithMargins="0">
    <oddFooter>&amp;C&amp;"Arial,Normal"&amp;8IAPMEI&amp;R&amp;"Arial,Normal"&amp;8&amp;N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03"/>
  <sheetViews>
    <sheetView showGridLines="0" zoomScalePageLayoutView="0" workbookViewId="0" topLeftCell="A76">
      <selection activeCell="J88" sqref="J88"/>
    </sheetView>
  </sheetViews>
  <sheetFormatPr defaultColWidth="9.140625" defaultRowHeight="12.75"/>
  <cols>
    <col min="1" max="1" width="29.57421875" style="36" customWidth="1"/>
    <col min="2" max="2" width="5.7109375" style="36" customWidth="1"/>
    <col min="3" max="3" width="8.7109375" style="36" bestFit="1" customWidth="1"/>
    <col min="4" max="4" width="9.421875" style="36" customWidth="1"/>
    <col min="5" max="13" width="8.7109375" style="36" bestFit="1" customWidth="1"/>
    <col min="14" max="19" width="11.421875" style="36" customWidth="1"/>
    <col min="20" max="16384" width="8.7109375" style="36" customWidth="1"/>
  </cols>
  <sheetData>
    <row r="1" spans="1:13" ht="13.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97" t="s">
        <v>44</v>
      </c>
      <c r="M1" s="398" t="str">
        <f>+Pressupostos!E1</f>
        <v>JUPITER</v>
      </c>
    </row>
    <row r="2" spans="1:13" ht="13.5">
      <c r="A2" s="37" t="s">
        <v>119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8" t="str">
        <f>+Pressupostos!B9</f>
        <v>Euros</v>
      </c>
    </row>
    <row r="3" spans="1:13" ht="13.5">
      <c r="A3" s="37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8"/>
    </row>
    <row r="4" spans="1:13" ht="15.75">
      <c r="A4" s="562" t="s">
        <v>162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">
      <c r="A8" s="567"/>
      <c r="B8" s="567"/>
      <c r="C8" s="40">
        <f>+Pressupostos!B11</f>
        <v>2021</v>
      </c>
      <c r="D8" s="40">
        <f>+C8+1</f>
        <v>2022</v>
      </c>
      <c r="E8" s="40">
        <f aca="true" t="shared" si="0" ref="E8:M8">+D8+1</f>
        <v>2023</v>
      </c>
      <c r="F8" s="40">
        <f t="shared" si="0"/>
        <v>2024</v>
      </c>
      <c r="G8" s="40">
        <f t="shared" si="0"/>
        <v>2025</v>
      </c>
      <c r="H8" s="40">
        <f t="shared" si="0"/>
        <v>2026</v>
      </c>
      <c r="I8" s="40">
        <f t="shared" si="0"/>
        <v>2027</v>
      </c>
      <c r="J8" s="40">
        <f t="shared" si="0"/>
        <v>2028</v>
      </c>
      <c r="K8" s="40">
        <f t="shared" si="0"/>
        <v>2029</v>
      </c>
      <c r="L8" s="40">
        <f t="shared" si="0"/>
        <v>2030</v>
      </c>
      <c r="M8" s="40">
        <f t="shared" si="0"/>
        <v>2031</v>
      </c>
    </row>
    <row r="9" spans="1:13" ht="12">
      <c r="A9" s="41" t="s">
        <v>245</v>
      </c>
      <c r="B9" s="42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2">
      <c r="A12" s="565" t="s">
        <v>122</v>
      </c>
      <c r="B12" s="566"/>
      <c r="C12" s="40">
        <f aca="true" t="shared" si="1" ref="C12:M12">+C8</f>
        <v>2021</v>
      </c>
      <c r="D12" s="40">
        <f t="shared" si="1"/>
        <v>2022</v>
      </c>
      <c r="E12" s="40">
        <f t="shared" si="1"/>
        <v>2023</v>
      </c>
      <c r="F12" s="40">
        <f t="shared" si="1"/>
        <v>2024</v>
      </c>
      <c r="G12" s="40">
        <f t="shared" si="1"/>
        <v>2025</v>
      </c>
      <c r="H12" s="40">
        <f t="shared" si="1"/>
        <v>2026</v>
      </c>
      <c r="I12" s="40">
        <f t="shared" si="1"/>
        <v>2027</v>
      </c>
      <c r="J12" s="40">
        <f t="shared" si="1"/>
        <v>2028</v>
      </c>
      <c r="K12" s="40">
        <f t="shared" si="1"/>
        <v>2029</v>
      </c>
      <c r="L12" s="40">
        <f t="shared" si="1"/>
        <v>2030</v>
      </c>
      <c r="M12" s="40">
        <f t="shared" si="1"/>
        <v>2031</v>
      </c>
    </row>
    <row r="13" spans="1:13" ht="12">
      <c r="A13" s="557" t="s">
        <v>98</v>
      </c>
      <c r="B13" s="558"/>
      <c r="C13" s="241">
        <f>+C16*C14</f>
        <v>1056900</v>
      </c>
      <c r="D13" s="241">
        <f>+D16*D14</f>
        <v>2585882</v>
      </c>
      <c r="E13" s="241">
        <f aca="true" t="shared" si="2" ref="E13:M13">+E16*E14</f>
        <v>2663458.46</v>
      </c>
      <c r="F13" s="241">
        <f t="shared" si="2"/>
        <v>2769993.98</v>
      </c>
      <c r="G13" s="241">
        <f t="shared" si="2"/>
        <v>2908447.88</v>
      </c>
      <c r="H13" s="241">
        <f t="shared" si="2"/>
        <v>3082906.84</v>
      </c>
      <c r="I13" s="241">
        <f t="shared" si="2"/>
        <v>3298655.36</v>
      </c>
      <c r="J13" s="241">
        <f t="shared" si="2"/>
        <v>3562528.0599999996</v>
      </c>
      <c r="K13" s="241">
        <f t="shared" si="2"/>
        <v>3883121.0599999996</v>
      </c>
      <c r="L13" s="241">
        <f t="shared" si="2"/>
        <v>4271426.119999999</v>
      </c>
      <c r="M13" s="241">
        <f t="shared" si="2"/>
        <v>4741253.399999999</v>
      </c>
    </row>
    <row r="14" spans="1:13" ht="12">
      <c r="A14" s="44" t="s">
        <v>239</v>
      </c>
      <c r="B14" s="45"/>
      <c r="C14" s="242">
        <v>15000</v>
      </c>
      <c r="D14" s="243">
        <v>36700</v>
      </c>
      <c r="E14" s="243">
        <v>37801</v>
      </c>
      <c r="F14" s="243">
        <v>39313</v>
      </c>
      <c r="G14" s="243">
        <v>41278</v>
      </c>
      <c r="H14" s="243">
        <v>43754</v>
      </c>
      <c r="I14" s="243">
        <v>46816</v>
      </c>
      <c r="J14" s="243">
        <v>50561</v>
      </c>
      <c r="K14" s="243">
        <v>55111</v>
      </c>
      <c r="L14" s="243">
        <v>60622</v>
      </c>
      <c r="M14" s="243">
        <v>67290</v>
      </c>
    </row>
    <row r="15" spans="1:13" ht="12">
      <c r="A15" s="44" t="s">
        <v>240</v>
      </c>
      <c r="B15" s="45"/>
      <c r="C15" s="44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ht="12">
      <c r="A16" s="44" t="s">
        <v>2</v>
      </c>
      <c r="B16" s="45"/>
      <c r="C16" s="246">
        <v>70.46</v>
      </c>
      <c r="D16" s="247">
        <f aca="true" t="shared" si="3" ref="D16:M16">+C16*(1+D$9)</f>
        <v>70.46</v>
      </c>
      <c r="E16" s="247">
        <f t="shared" si="3"/>
        <v>70.46</v>
      </c>
      <c r="F16" s="247">
        <f t="shared" si="3"/>
        <v>70.46</v>
      </c>
      <c r="G16" s="247">
        <f t="shared" si="3"/>
        <v>70.46</v>
      </c>
      <c r="H16" s="247">
        <f t="shared" si="3"/>
        <v>70.46</v>
      </c>
      <c r="I16" s="247">
        <f t="shared" si="3"/>
        <v>70.46</v>
      </c>
      <c r="J16" s="247">
        <f t="shared" si="3"/>
        <v>70.46</v>
      </c>
      <c r="K16" s="247">
        <f t="shared" si="3"/>
        <v>70.46</v>
      </c>
      <c r="L16" s="247">
        <f t="shared" si="3"/>
        <v>70.46</v>
      </c>
      <c r="M16" s="247">
        <f t="shared" si="3"/>
        <v>70.46</v>
      </c>
    </row>
    <row r="17" spans="1:13" ht="12">
      <c r="A17" s="557" t="s">
        <v>99</v>
      </c>
      <c r="B17" s="558"/>
      <c r="C17" s="241">
        <f aca="true" t="shared" si="4" ref="C17:M17">+C20*C18</f>
        <v>1056900</v>
      </c>
      <c r="D17" s="241">
        <f>+D20*D$18</f>
        <v>2585882</v>
      </c>
      <c r="E17" s="241">
        <f t="shared" si="4"/>
        <v>2663458.46</v>
      </c>
      <c r="F17" s="241">
        <f t="shared" si="4"/>
        <v>2769993.98</v>
      </c>
      <c r="G17" s="241">
        <f t="shared" si="4"/>
        <v>2908447.88</v>
      </c>
      <c r="H17" s="241">
        <f t="shared" si="4"/>
        <v>3082906.84</v>
      </c>
      <c r="I17" s="241">
        <f t="shared" si="4"/>
        <v>3298655.36</v>
      </c>
      <c r="J17" s="241">
        <f t="shared" si="4"/>
        <v>3562528.0599999996</v>
      </c>
      <c r="K17" s="241">
        <f t="shared" si="4"/>
        <v>3883121.0599999996</v>
      </c>
      <c r="L17" s="241">
        <f t="shared" si="4"/>
        <v>4271426.119999999</v>
      </c>
      <c r="M17" s="241">
        <f t="shared" si="4"/>
        <v>4741253.399999999</v>
      </c>
    </row>
    <row r="18" spans="1:13" ht="12">
      <c r="A18" s="44" t="s">
        <v>239</v>
      </c>
      <c r="B18" s="45"/>
      <c r="C18" s="242">
        <v>15000</v>
      </c>
      <c r="D18" s="243">
        <v>36700</v>
      </c>
      <c r="E18" s="243">
        <v>37801</v>
      </c>
      <c r="F18" s="243">
        <v>39313</v>
      </c>
      <c r="G18" s="243">
        <v>41278</v>
      </c>
      <c r="H18" s="243">
        <v>43754</v>
      </c>
      <c r="I18" s="243">
        <v>46816</v>
      </c>
      <c r="J18" s="243">
        <v>50561</v>
      </c>
      <c r="K18" s="243">
        <v>55111</v>
      </c>
      <c r="L18" s="243">
        <v>60622</v>
      </c>
      <c r="M18" s="243">
        <v>67290</v>
      </c>
    </row>
    <row r="19" spans="1:13" ht="12">
      <c r="A19" s="44" t="s">
        <v>240</v>
      </c>
      <c r="B19" s="45"/>
      <c r="C19" s="44"/>
      <c r="D19" s="245"/>
      <c r="E19" s="245"/>
      <c r="F19" s="245"/>
      <c r="G19" s="245"/>
      <c r="H19" s="245"/>
      <c r="I19" s="245"/>
      <c r="J19" s="245"/>
      <c r="K19" s="245"/>
      <c r="L19" s="245"/>
      <c r="M19" s="245"/>
    </row>
    <row r="20" spans="1:13" ht="12">
      <c r="A20" s="44" t="s">
        <v>2</v>
      </c>
      <c r="B20" s="45"/>
      <c r="C20" s="246">
        <v>70.46</v>
      </c>
      <c r="D20" s="247">
        <f>+C20*(1+D$9)</f>
        <v>70.46</v>
      </c>
      <c r="E20" s="247">
        <f aca="true" t="shared" si="5" ref="E20:M20">+D20*(1+E$9)</f>
        <v>70.46</v>
      </c>
      <c r="F20" s="247">
        <f t="shared" si="5"/>
        <v>70.46</v>
      </c>
      <c r="G20" s="247">
        <f t="shared" si="5"/>
        <v>70.46</v>
      </c>
      <c r="H20" s="247">
        <f t="shared" si="5"/>
        <v>70.46</v>
      </c>
      <c r="I20" s="247">
        <f t="shared" si="5"/>
        <v>70.46</v>
      </c>
      <c r="J20" s="247">
        <f t="shared" si="5"/>
        <v>70.46</v>
      </c>
      <c r="K20" s="247">
        <f t="shared" si="5"/>
        <v>70.46</v>
      </c>
      <c r="L20" s="247">
        <f t="shared" si="5"/>
        <v>70.46</v>
      </c>
      <c r="M20" s="247">
        <f t="shared" si="5"/>
        <v>70.46</v>
      </c>
    </row>
    <row r="21" spans="1:13" ht="12">
      <c r="A21" s="557" t="s">
        <v>100</v>
      </c>
      <c r="B21" s="558"/>
      <c r="C21" s="241">
        <f aca="true" t="shared" si="6" ref="C21:M21">+C24*C22</f>
        <v>1056900</v>
      </c>
      <c r="D21" s="241">
        <f t="shared" si="6"/>
        <v>2585882</v>
      </c>
      <c r="E21" s="241">
        <f t="shared" si="6"/>
        <v>2663458.46</v>
      </c>
      <c r="F21" s="241">
        <f t="shared" si="6"/>
        <v>2769993.98</v>
      </c>
      <c r="G21" s="241">
        <f t="shared" si="6"/>
        <v>2908447.88</v>
      </c>
      <c r="H21" s="241">
        <f t="shared" si="6"/>
        <v>3082906.84</v>
      </c>
      <c r="I21" s="241">
        <f t="shared" si="6"/>
        <v>3298655.36</v>
      </c>
      <c r="J21" s="241">
        <f t="shared" si="6"/>
        <v>3562528.0599999996</v>
      </c>
      <c r="K21" s="241">
        <f t="shared" si="6"/>
        <v>3883121.0599999996</v>
      </c>
      <c r="L21" s="241">
        <f t="shared" si="6"/>
        <v>4271426.119999999</v>
      </c>
      <c r="M21" s="241">
        <f t="shared" si="6"/>
        <v>4741253.399999999</v>
      </c>
    </row>
    <row r="22" spans="1:13" ht="12">
      <c r="A22" s="44" t="s">
        <v>239</v>
      </c>
      <c r="B22" s="45"/>
      <c r="C22" s="242">
        <v>15000</v>
      </c>
      <c r="D22" s="243">
        <v>36700</v>
      </c>
      <c r="E22" s="243">
        <v>37801</v>
      </c>
      <c r="F22" s="243">
        <v>39313</v>
      </c>
      <c r="G22" s="243">
        <v>41278</v>
      </c>
      <c r="H22" s="243">
        <v>43754</v>
      </c>
      <c r="I22" s="243">
        <v>46816</v>
      </c>
      <c r="J22" s="243">
        <v>50561</v>
      </c>
      <c r="K22" s="243">
        <v>55111</v>
      </c>
      <c r="L22" s="243">
        <v>60622</v>
      </c>
      <c r="M22" s="243">
        <v>67290</v>
      </c>
    </row>
    <row r="23" spans="1:13" ht="12">
      <c r="A23" s="44" t="s">
        <v>240</v>
      </c>
      <c r="B23" s="45"/>
      <c r="C23" s="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  <row r="24" spans="1:13" ht="12">
      <c r="A24" s="44" t="s">
        <v>2</v>
      </c>
      <c r="B24" s="45"/>
      <c r="C24" s="246">
        <v>70.46</v>
      </c>
      <c r="D24" s="247">
        <f>+C24*(1+D$9)</f>
        <v>70.46</v>
      </c>
      <c r="E24" s="247">
        <f aca="true" t="shared" si="7" ref="E24:M24">+D24*(1+E$9)</f>
        <v>70.46</v>
      </c>
      <c r="F24" s="247">
        <f t="shared" si="7"/>
        <v>70.46</v>
      </c>
      <c r="G24" s="247">
        <f t="shared" si="7"/>
        <v>70.46</v>
      </c>
      <c r="H24" s="247">
        <f t="shared" si="7"/>
        <v>70.46</v>
      </c>
      <c r="I24" s="247">
        <f t="shared" si="7"/>
        <v>70.46</v>
      </c>
      <c r="J24" s="247">
        <f t="shared" si="7"/>
        <v>70.46</v>
      </c>
      <c r="K24" s="247">
        <f t="shared" si="7"/>
        <v>70.46</v>
      </c>
      <c r="L24" s="247">
        <f t="shared" si="7"/>
        <v>70.46</v>
      </c>
      <c r="M24" s="247">
        <f t="shared" si="7"/>
        <v>70.46</v>
      </c>
    </row>
    <row r="25" spans="1:13" ht="12">
      <c r="A25" s="557" t="s">
        <v>101</v>
      </c>
      <c r="B25" s="558"/>
      <c r="C25" s="241">
        <f aca="true" t="shared" si="8" ref="C25:M25">+C28*C26</f>
        <v>0</v>
      </c>
      <c r="D25" s="241">
        <f t="shared" si="8"/>
        <v>0</v>
      </c>
      <c r="E25" s="241">
        <f t="shared" si="8"/>
        <v>0</v>
      </c>
      <c r="F25" s="241">
        <f t="shared" si="8"/>
        <v>0</v>
      </c>
      <c r="G25" s="241">
        <f t="shared" si="8"/>
        <v>0</v>
      </c>
      <c r="H25" s="241">
        <f t="shared" si="8"/>
        <v>0</v>
      </c>
      <c r="I25" s="241">
        <f t="shared" si="8"/>
        <v>0</v>
      </c>
      <c r="J25" s="241">
        <f t="shared" si="8"/>
        <v>0</v>
      </c>
      <c r="K25" s="241">
        <f t="shared" si="8"/>
        <v>0</v>
      </c>
      <c r="L25" s="241">
        <f t="shared" si="8"/>
        <v>0</v>
      </c>
      <c r="M25" s="241">
        <f t="shared" si="8"/>
        <v>0</v>
      </c>
    </row>
    <row r="26" spans="1:13" ht="12">
      <c r="A26" s="44" t="s">
        <v>239</v>
      </c>
      <c r="B26" s="45"/>
      <c r="C26" s="242"/>
      <c r="D26" s="243">
        <f aca="true" t="shared" si="9" ref="D26:M26">+C26*(1+D27)</f>
        <v>0</v>
      </c>
      <c r="E26" s="243">
        <f t="shared" si="9"/>
        <v>0</v>
      </c>
      <c r="F26" s="243">
        <f t="shared" si="9"/>
        <v>0</v>
      </c>
      <c r="G26" s="243">
        <f t="shared" si="9"/>
        <v>0</v>
      </c>
      <c r="H26" s="243">
        <f t="shared" si="9"/>
        <v>0</v>
      </c>
      <c r="I26" s="243">
        <f t="shared" si="9"/>
        <v>0</v>
      </c>
      <c r="J26" s="243">
        <f t="shared" si="9"/>
        <v>0</v>
      </c>
      <c r="K26" s="243">
        <f t="shared" si="9"/>
        <v>0</v>
      </c>
      <c r="L26" s="243">
        <f t="shared" si="9"/>
        <v>0</v>
      </c>
      <c r="M26" s="243">
        <f t="shared" si="9"/>
        <v>0</v>
      </c>
    </row>
    <row r="27" spans="1:13" ht="12">
      <c r="A27" s="44" t="s">
        <v>240</v>
      </c>
      <c r="B27" s="45"/>
      <c r="C27" s="44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ht="12">
      <c r="A28" s="44" t="s">
        <v>2</v>
      </c>
      <c r="B28" s="45"/>
      <c r="C28" s="246"/>
      <c r="D28" s="247">
        <f>+C28*(1+D$9)</f>
        <v>0</v>
      </c>
      <c r="E28" s="247">
        <f aca="true" t="shared" si="10" ref="E28:M28">+D28*(1+E$9)</f>
        <v>0</v>
      </c>
      <c r="F28" s="247">
        <f t="shared" si="10"/>
        <v>0</v>
      </c>
      <c r="G28" s="247">
        <f t="shared" si="10"/>
        <v>0</v>
      </c>
      <c r="H28" s="247">
        <f t="shared" si="10"/>
        <v>0</v>
      </c>
      <c r="I28" s="247">
        <f t="shared" si="10"/>
        <v>0</v>
      </c>
      <c r="J28" s="247">
        <f t="shared" si="10"/>
        <v>0</v>
      </c>
      <c r="K28" s="247">
        <f t="shared" si="10"/>
        <v>0</v>
      </c>
      <c r="L28" s="247">
        <f t="shared" si="10"/>
        <v>0</v>
      </c>
      <c r="M28" s="247">
        <f t="shared" si="10"/>
        <v>0</v>
      </c>
    </row>
    <row r="29" spans="1:13" ht="12" thickBot="1">
      <c r="A29" s="563" t="s">
        <v>69</v>
      </c>
      <c r="B29" s="564"/>
      <c r="C29" s="25">
        <f aca="true" t="shared" si="11" ref="C29:M29">+C13+C17+C21+C25</f>
        <v>3170700</v>
      </c>
      <c r="D29" s="25">
        <f t="shared" si="11"/>
        <v>7757646</v>
      </c>
      <c r="E29" s="25">
        <f t="shared" si="11"/>
        <v>7990375.38</v>
      </c>
      <c r="F29" s="25">
        <f t="shared" si="11"/>
        <v>8309981.9399999995</v>
      </c>
      <c r="G29" s="25">
        <f t="shared" si="11"/>
        <v>8725343.64</v>
      </c>
      <c r="H29" s="25">
        <f t="shared" si="11"/>
        <v>9248720.52</v>
      </c>
      <c r="I29" s="25">
        <f t="shared" si="11"/>
        <v>9895966.08</v>
      </c>
      <c r="J29" s="25">
        <f t="shared" si="11"/>
        <v>10687584.18</v>
      </c>
      <c r="K29" s="25">
        <f t="shared" si="11"/>
        <v>11649363.18</v>
      </c>
      <c r="L29" s="25">
        <f t="shared" si="11"/>
        <v>12814278.359999998</v>
      </c>
      <c r="M29" s="25">
        <f t="shared" si="11"/>
        <v>14223760.2</v>
      </c>
    </row>
    <row r="30" spans="1:13" ht="12" thickTop="1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2">
      <c r="A32" s="555" t="s">
        <v>123</v>
      </c>
      <c r="B32" s="555"/>
      <c r="C32" s="40">
        <f aca="true" t="shared" si="12" ref="C32:M32">+C8</f>
        <v>2021</v>
      </c>
      <c r="D32" s="40">
        <f t="shared" si="12"/>
        <v>2022</v>
      </c>
      <c r="E32" s="40">
        <f t="shared" si="12"/>
        <v>2023</v>
      </c>
      <c r="F32" s="40">
        <f t="shared" si="12"/>
        <v>2024</v>
      </c>
      <c r="G32" s="40">
        <f t="shared" si="12"/>
        <v>2025</v>
      </c>
      <c r="H32" s="40">
        <f t="shared" si="12"/>
        <v>2026</v>
      </c>
      <c r="I32" s="40">
        <f t="shared" si="12"/>
        <v>2027</v>
      </c>
      <c r="J32" s="40">
        <f t="shared" si="12"/>
        <v>2028</v>
      </c>
      <c r="K32" s="40">
        <f t="shared" si="12"/>
        <v>2029</v>
      </c>
      <c r="L32" s="40">
        <f t="shared" si="12"/>
        <v>2030</v>
      </c>
      <c r="M32" s="40">
        <f t="shared" si="12"/>
        <v>2031</v>
      </c>
    </row>
    <row r="33" spans="1:13" ht="12">
      <c r="A33" s="557" t="s">
        <v>98</v>
      </c>
      <c r="B33" s="558"/>
      <c r="C33" s="241">
        <f aca="true" t="shared" si="13" ref="C33:M33">+C36*C34</f>
        <v>6341399.999999999</v>
      </c>
      <c r="D33" s="241">
        <f t="shared" si="13"/>
        <v>12682799.999999998</v>
      </c>
      <c r="E33" s="241">
        <f>+E36*E34</f>
        <v>25365599.999999996</v>
      </c>
      <c r="F33" s="241">
        <f>+F36*F34</f>
        <v>30469933.779999997</v>
      </c>
      <c r="G33" s="241">
        <f>+G36*G34</f>
        <v>31992926.679999996</v>
      </c>
      <c r="H33" s="241">
        <f>+H36*H34</f>
        <v>33911975.239999995</v>
      </c>
      <c r="I33" s="241">
        <f>+I36*I34</f>
        <v>36285208.95999999</v>
      </c>
      <c r="J33" s="241">
        <f t="shared" si="13"/>
        <v>39187808.66</v>
      </c>
      <c r="K33" s="241">
        <f t="shared" si="13"/>
        <v>42714331.66</v>
      </c>
      <c r="L33" s="241">
        <f t="shared" si="13"/>
        <v>47016689.72</v>
      </c>
      <c r="M33" s="241">
        <f t="shared" si="13"/>
        <v>52153787.4</v>
      </c>
    </row>
    <row r="34" spans="1:13" ht="12">
      <c r="A34" s="44" t="s">
        <v>239</v>
      </c>
      <c r="B34" s="45"/>
      <c r="C34" s="242">
        <v>90000</v>
      </c>
      <c r="D34" s="243">
        <v>180000</v>
      </c>
      <c r="E34" s="243">
        <v>360000</v>
      </c>
      <c r="F34" s="243">
        <v>432443</v>
      </c>
      <c r="G34" s="243">
        <v>454058</v>
      </c>
      <c r="H34" s="243">
        <v>481294</v>
      </c>
      <c r="I34" s="243">
        <v>514976</v>
      </c>
      <c r="J34" s="243">
        <v>556171</v>
      </c>
      <c r="K34" s="243">
        <v>606221</v>
      </c>
      <c r="L34" s="243">
        <v>667282</v>
      </c>
      <c r="M34" s="243">
        <v>740190</v>
      </c>
    </row>
    <row r="35" spans="1:13" ht="12">
      <c r="A35" s="44" t="s">
        <v>240</v>
      </c>
      <c r="B35" s="45"/>
      <c r="C35" s="244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  <row r="36" spans="1:13" ht="12">
      <c r="A36" s="44" t="s">
        <v>2</v>
      </c>
      <c r="B36" s="45"/>
      <c r="C36" s="246">
        <v>70.46</v>
      </c>
      <c r="D36" s="247">
        <f aca="true" t="shared" si="14" ref="D36:M36">+C36*(1+D$9)</f>
        <v>70.46</v>
      </c>
      <c r="E36" s="247">
        <f t="shared" si="14"/>
        <v>70.46</v>
      </c>
      <c r="F36" s="247">
        <f t="shared" si="14"/>
        <v>70.46</v>
      </c>
      <c r="G36" s="247">
        <f t="shared" si="14"/>
        <v>70.46</v>
      </c>
      <c r="H36" s="247">
        <f t="shared" si="14"/>
        <v>70.46</v>
      </c>
      <c r="I36" s="247">
        <f t="shared" si="14"/>
        <v>70.46</v>
      </c>
      <c r="J36" s="247">
        <f t="shared" si="14"/>
        <v>70.46</v>
      </c>
      <c r="K36" s="247">
        <f t="shared" si="14"/>
        <v>70.46</v>
      </c>
      <c r="L36" s="247">
        <f t="shared" si="14"/>
        <v>70.46</v>
      </c>
      <c r="M36" s="247">
        <f t="shared" si="14"/>
        <v>70.46</v>
      </c>
    </row>
    <row r="37" spans="1:13" ht="12">
      <c r="A37" s="557" t="s">
        <v>99</v>
      </c>
      <c r="B37" s="558"/>
      <c r="C37" s="241">
        <f aca="true" t="shared" si="15" ref="C37:M37">+C40*C38</f>
        <v>6341399.999999999</v>
      </c>
      <c r="D37" s="241">
        <f t="shared" si="15"/>
        <v>12682799.999999998</v>
      </c>
      <c r="E37" s="241">
        <f>+E40*E38</f>
        <v>25365599.999999996</v>
      </c>
      <c r="F37" s="241">
        <f>+F40*F38</f>
        <v>30469933.779999997</v>
      </c>
      <c r="G37" s="241">
        <f>+G40*G38</f>
        <v>31992926.679999996</v>
      </c>
      <c r="H37" s="241">
        <f>+H40*H38</f>
        <v>33911975.239999995</v>
      </c>
      <c r="I37" s="241">
        <f>+I40*I38</f>
        <v>36285208.95999999</v>
      </c>
      <c r="J37" s="241">
        <f t="shared" si="15"/>
        <v>39187808.66</v>
      </c>
      <c r="K37" s="241">
        <f t="shared" si="15"/>
        <v>42714331.66</v>
      </c>
      <c r="L37" s="241">
        <f t="shared" si="15"/>
        <v>47016689.72</v>
      </c>
      <c r="M37" s="241">
        <f t="shared" si="15"/>
        <v>52153787.4</v>
      </c>
    </row>
    <row r="38" spans="1:13" ht="12">
      <c r="A38" s="44" t="s">
        <v>239</v>
      </c>
      <c r="B38" s="45"/>
      <c r="C38" s="242">
        <v>90000</v>
      </c>
      <c r="D38" s="243">
        <v>180000</v>
      </c>
      <c r="E38" s="243">
        <v>360000</v>
      </c>
      <c r="F38" s="243">
        <v>432443</v>
      </c>
      <c r="G38" s="243">
        <v>454058</v>
      </c>
      <c r="H38" s="243">
        <v>481294</v>
      </c>
      <c r="I38" s="243">
        <v>514976</v>
      </c>
      <c r="J38" s="243">
        <v>556171</v>
      </c>
      <c r="K38" s="243">
        <v>606221</v>
      </c>
      <c r="L38" s="243">
        <v>667282</v>
      </c>
      <c r="M38" s="243">
        <v>740190</v>
      </c>
    </row>
    <row r="39" spans="1:13" ht="12">
      <c r="A39" s="44" t="s">
        <v>240</v>
      </c>
      <c r="B39" s="45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</row>
    <row r="40" spans="1:13" ht="12">
      <c r="A40" s="44" t="s">
        <v>2</v>
      </c>
      <c r="B40" s="45"/>
      <c r="C40" s="246">
        <v>70.46</v>
      </c>
      <c r="D40" s="247">
        <f>+C40*(1+D$9)</f>
        <v>70.46</v>
      </c>
      <c r="E40" s="247">
        <f aca="true" t="shared" si="16" ref="E40:M40">+D40*(1+E$9)</f>
        <v>70.46</v>
      </c>
      <c r="F40" s="247">
        <f t="shared" si="16"/>
        <v>70.46</v>
      </c>
      <c r="G40" s="247">
        <f t="shared" si="16"/>
        <v>70.46</v>
      </c>
      <c r="H40" s="247">
        <f t="shared" si="16"/>
        <v>70.46</v>
      </c>
      <c r="I40" s="247">
        <f t="shared" si="16"/>
        <v>70.46</v>
      </c>
      <c r="J40" s="247">
        <f t="shared" si="16"/>
        <v>70.46</v>
      </c>
      <c r="K40" s="247">
        <f t="shared" si="16"/>
        <v>70.46</v>
      </c>
      <c r="L40" s="247">
        <f t="shared" si="16"/>
        <v>70.46</v>
      </c>
      <c r="M40" s="247">
        <f t="shared" si="16"/>
        <v>70.46</v>
      </c>
    </row>
    <row r="41" spans="1:13" ht="12" thickBot="1">
      <c r="A41" s="556" t="s">
        <v>69</v>
      </c>
      <c r="B41" s="556"/>
      <c r="C41" s="25">
        <f aca="true" t="shared" si="17" ref="C41:M41">+C33+C37</f>
        <v>12682799.999999998</v>
      </c>
      <c r="D41" s="25">
        <f t="shared" si="17"/>
        <v>25365599.999999996</v>
      </c>
      <c r="E41" s="25">
        <f>+E33+E37</f>
        <v>50731199.99999999</v>
      </c>
      <c r="F41" s="25">
        <f>+F33+F37</f>
        <v>60939867.559999995</v>
      </c>
      <c r="G41" s="25">
        <f>+G33+G37</f>
        <v>63985853.35999999</v>
      </c>
      <c r="H41" s="25">
        <f>+H33+H37</f>
        <v>67823950.47999999</v>
      </c>
      <c r="I41" s="25">
        <f>+I33+I37</f>
        <v>72570417.91999999</v>
      </c>
      <c r="J41" s="25">
        <f t="shared" si="17"/>
        <v>78375617.32</v>
      </c>
      <c r="K41" s="25">
        <f t="shared" si="17"/>
        <v>85428663.32</v>
      </c>
      <c r="L41" s="25">
        <f t="shared" si="17"/>
        <v>94033379.44</v>
      </c>
      <c r="M41" s="25">
        <f t="shared" si="17"/>
        <v>104307574.8</v>
      </c>
    </row>
    <row r="42" spans="1:13" ht="12" thickTop="1">
      <c r="A42" s="48" t="s">
        <v>241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5" ht="12">
      <c r="A43" s="379" t="s">
        <v>242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</row>
    <row r="44" spans="1:15" ht="12">
      <c r="A44" s="4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</row>
    <row r="45" spans="1:15" ht="12">
      <c r="A45" s="555" t="s">
        <v>163</v>
      </c>
      <c r="B45" s="555"/>
      <c r="C45" s="40">
        <f aca="true" t="shared" si="18" ref="C45:M45">+C8</f>
        <v>2021</v>
      </c>
      <c r="D45" s="40">
        <f t="shared" si="18"/>
        <v>2022</v>
      </c>
      <c r="E45" s="40">
        <f t="shared" si="18"/>
        <v>2023</v>
      </c>
      <c r="F45" s="40">
        <f t="shared" si="18"/>
        <v>2024</v>
      </c>
      <c r="G45" s="40">
        <f t="shared" si="18"/>
        <v>2025</v>
      </c>
      <c r="H45" s="40">
        <f t="shared" si="18"/>
        <v>2026</v>
      </c>
      <c r="I45" s="40">
        <f t="shared" si="18"/>
        <v>2027</v>
      </c>
      <c r="J45" s="40">
        <f t="shared" si="18"/>
        <v>2028</v>
      </c>
      <c r="K45" s="40">
        <f t="shared" si="18"/>
        <v>2029</v>
      </c>
      <c r="L45" s="40">
        <f t="shared" si="18"/>
        <v>2030</v>
      </c>
      <c r="M45" s="40">
        <f t="shared" si="18"/>
        <v>2031</v>
      </c>
      <c r="N45" s="51"/>
      <c r="O45" s="51"/>
    </row>
    <row r="46" spans="1:15" ht="12">
      <c r="A46" s="557" t="s">
        <v>54</v>
      </c>
      <c r="B46" s="558"/>
      <c r="C46" s="242"/>
      <c r="D46" s="243">
        <v>6250</v>
      </c>
      <c r="E46" s="243">
        <v>12500</v>
      </c>
      <c r="F46" s="243">
        <v>25000</v>
      </c>
      <c r="G46" s="243">
        <v>25250</v>
      </c>
      <c r="H46" s="243">
        <v>25755</v>
      </c>
      <c r="I46" s="243">
        <v>26270</v>
      </c>
      <c r="J46" s="243">
        <v>26795</v>
      </c>
      <c r="K46" s="243">
        <v>27330</v>
      </c>
      <c r="L46" s="243">
        <v>27876</v>
      </c>
      <c r="M46" s="243">
        <v>28433</v>
      </c>
      <c r="N46" s="51"/>
      <c r="O46" s="51"/>
    </row>
    <row r="47" spans="1:15" ht="12">
      <c r="A47" s="44" t="s">
        <v>243</v>
      </c>
      <c r="B47" s="45"/>
      <c r="C47" s="244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51"/>
      <c r="O47" s="51"/>
    </row>
    <row r="48" spans="1:15" ht="12">
      <c r="A48" s="557" t="s">
        <v>55</v>
      </c>
      <c r="B48" s="558"/>
      <c r="C48" s="242"/>
      <c r="D48" s="243">
        <v>72000</v>
      </c>
      <c r="E48" s="243">
        <v>264000</v>
      </c>
      <c r="F48" s="243">
        <v>288000</v>
      </c>
      <c r="G48" s="243">
        <v>288000</v>
      </c>
      <c r="H48" s="243">
        <v>288000</v>
      </c>
      <c r="I48" s="243">
        <f>+H48*(1+I49)</f>
        <v>288000</v>
      </c>
      <c r="J48" s="243">
        <f>+I48*(1+J49)</f>
        <v>288000</v>
      </c>
      <c r="K48" s="243">
        <f>+J48*(1+K49)</f>
        <v>288000</v>
      </c>
      <c r="L48" s="243">
        <f>+K48*(1+L49)</f>
        <v>288000</v>
      </c>
      <c r="M48" s="243">
        <f>+L48*(1+M49)</f>
        <v>288000</v>
      </c>
      <c r="N48" s="51"/>
      <c r="O48" s="51"/>
    </row>
    <row r="49" spans="1:15" ht="12">
      <c r="A49" s="44" t="s">
        <v>243</v>
      </c>
      <c r="B49" s="45"/>
      <c r="C49" s="244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51"/>
      <c r="O49" s="51"/>
    </row>
    <row r="50" spans="1:15" ht="12">
      <c r="A50" s="557" t="s">
        <v>56</v>
      </c>
      <c r="B50" s="558"/>
      <c r="C50" s="242"/>
      <c r="D50" s="243">
        <v>16800</v>
      </c>
      <c r="E50" s="243">
        <v>50400</v>
      </c>
      <c r="F50" s="243">
        <f aca="true" t="shared" si="19" ref="F50:M50">+E50*(1+F51)</f>
        <v>50400</v>
      </c>
      <c r="G50" s="243">
        <f t="shared" si="19"/>
        <v>50400</v>
      </c>
      <c r="H50" s="243">
        <f t="shared" si="19"/>
        <v>50400</v>
      </c>
      <c r="I50" s="243">
        <f t="shared" si="19"/>
        <v>50400</v>
      </c>
      <c r="J50" s="243">
        <f t="shared" si="19"/>
        <v>50400</v>
      </c>
      <c r="K50" s="243">
        <f t="shared" si="19"/>
        <v>50400</v>
      </c>
      <c r="L50" s="243">
        <f t="shared" si="19"/>
        <v>50400</v>
      </c>
      <c r="M50" s="243">
        <f t="shared" si="19"/>
        <v>50400</v>
      </c>
      <c r="N50" s="51"/>
      <c r="O50" s="51"/>
    </row>
    <row r="51" spans="1:15" ht="12">
      <c r="A51" s="44" t="s">
        <v>243</v>
      </c>
      <c r="B51" s="45"/>
      <c r="C51" s="244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51"/>
      <c r="O51" s="51"/>
    </row>
    <row r="52" spans="1:15" ht="12">
      <c r="A52" s="557" t="s">
        <v>57</v>
      </c>
      <c r="B52" s="558"/>
      <c r="C52" s="242">
        <v>360000</v>
      </c>
      <c r="D52" s="243">
        <v>360000</v>
      </c>
      <c r="E52" s="243">
        <v>360000</v>
      </c>
      <c r="F52" s="243">
        <f aca="true" t="shared" si="20" ref="F52:M52">+E52*(1+F53)</f>
        <v>360000</v>
      </c>
      <c r="G52" s="243">
        <f t="shared" si="20"/>
        <v>360000</v>
      </c>
      <c r="H52" s="243">
        <f t="shared" si="20"/>
        <v>360000</v>
      </c>
      <c r="I52" s="243">
        <f t="shared" si="20"/>
        <v>360000</v>
      </c>
      <c r="J52" s="243">
        <f t="shared" si="20"/>
        <v>360000</v>
      </c>
      <c r="K52" s="243">
        <f t="shared" si="20"/>
        <v>360000</v>
      </c>
      <c r="L52" s="243">
        <f t="shared" si="20"/>
        <v>360000</v>
      </c>
      <c r="M52" s="243">
        <f t="shared" si="20"/>
        <v>360000</v>
      </c>
      <c r="N52" s="51"/>
      <c r="O52" s="51"/>
    </row>
    <row r="53" spans="1:15" ht="12">
      <c r="A53" s="44" t="s">
        <v>243</v>
      </c>
      <c r="B53" s="45"/>
      <c r="C53" s="244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51"/>
      <c r="O53" s="51"/>
    </row>
    <row r="54" spans="1:13" ht="12" thickBot="1">
      <c r="A54" s="556" t="s">
        <v>69</v>
      </c>
      <c r="B54" s="556"/>
      <c r="C54" s="25">
        <f aca="true" t="shared" si="21" ref="C54:M54">+C46+C48+C50+C52</f>
        <v>360000</v>
      </c>
      <c r="D54" s="25">
        <f t="shared" si="21"/>
        <v>455050</v>
      </c>
      <c r="E54" s="25">
        <f>+E46+E48+E50+E52</f>
        <v>686900</v>
      </c>
      <c r="F54" s="25">
        <f>+F46+F48+F50+F52</f>
        <v>723400</v>
      </c>
      <c r="G54" s="25">
        <f>+G46+G48+G50+G52</f>
        <v>723650</v>
      </c>
      <c r="H54" s="25">
        <f>+H46+H48+H50+H52</f>
        <v>724155</v>
      </c>
      <c r="I54" s="25">
        <f>+I46+I48+I50+I52</f>
        <v>724670</v>
      </c>
      <c r="J54" s="25">
        <f t="shared" si="21"/>
        <v>725195</v>
      </c>
      <c r="K54" s="25">
        <f t="shared" si="21"/>
        <v>725730</v>
      </c>
      <c r="L54" s="25">
        <f t="shared" si="21"/>
        <v>726276</v>
      </c>
      <c r="M54" s="25">
        <f t="shared" si="21"/>
        <v>726833</v>
      </c>
    </row>
    <row r="55" spans="1:15" ht="12" thickTop="1">
      <c r="A55" s="53"/>
      <c r="B55" s="5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1"/>
    </row>
    <row r="56" spans="1:15" ht="12">
      <c r="A56" s="53"/>
      <c r="B56" s="5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1"/>
    </row>
    <row r="57" spans="1:15" ht="12">
      <c r="A57" s="555" t="s">
        <v>164</v>
      </c>
      <c r="B57" s="555"/>
      <c r="C57" s="55">
        <f aca="true" t="shared" si="22" ref="C57:M57">+C8</f>
        <v>2021</v>
      </c>
      <c r="D57" s="55">
        <f t="shared" si="22"/>
        <v>2022</v>
      </c>
      <c r="E57" s="55">
        <f t="shared" si="22"/>
        <v>2023</v>
      </c>
      <c r="F57" s="55">
        <f t="shared" si="22"/>
        <v>2024</v>
      </c>
      <c r="G57" s="55">
        <f t="shared" si="22"/>
        <v>2025</v>
      </c>
      <c r="H57" s="55">
        <f t="shared" si="22"/>
        <v>2026</v>
      </c>
      <c r="I57" s="55">
        <f t="shared" si="22"/>
        <v>2027</v>
      </c>
      <c r="J57" s="55">
        <f t="shared" si="22"/>
        <v>2028</v>
      </c>
      <c r="K57" s="55">
        <f t="shared" si="22"/>
        <v>2029</v>
      </c>
      <c r="L57" s="55">
        <f t="shared" si="22"/>
        <v>2030</v>
      </c>
      <c r="M57" s="55">
        <f t="shared" si="22"/>
        <v>2031</v>
      </c>
      <c r="N57" s="51"/>
      <c r="O57" s="51"/>
    </row>
    <row r="58" spans="1:15" ht="12">
      <c r="A58" s="557" t="s">
        <v>54</v>
      </c>
      <c r="B58" s="558"/>
      <c r="C58" s="242"/>
      <c r="D58" s="243">
        <v>30000</v>
      </c>
      <c r="E58" s="243">
        <v>60000</v>
      </c>
      <c r="F58" s="243">
        <v>120000</v>
      </c>
      <c r="G58" s="243">
        <v>240000</v>
      </c>
      <c r="H58" s="243">
        <v>244800</v>
      </c>
      <c r="I58" s="243">
        <v>249696</v>
      </c>
      <c r="J58" s="243">
        <v>259683</v>
      </c>
      <c r="K58" s="243">
        <v>270070</v>
      </c>
      <c r="L58" s="243">
        <v>280872</v>
      </c>
      <c r="M58" s="243">
        <v>292106</v>
      </c>
      <c r="N58" s="51"/>
      <c r="O58" s="51"/>
    </row>
    <row r="59" spans="1:15" ht="12">
      <c r="A59" s="44" t="s">
        <v>243</v>
      </c>
      <c r="B59" s="45"/>
      <c r="C59" s="244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51"/>
      <c r="O59" s="51"/>
    </row>
    <row r="60" spans="1:15" ht="12">
      <c r="A60" s="557" t="s">
        <v>55</v>
      </c>
      <c r="B60" s="558"/>
      <c r="C60" s="242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51"/>
      <c r="O60" s="51"/>
    </row>
    <row r="61" spans="1:15" ht="12">
      <c r="A61" s="44" t="s">
        <v>243</v>
      </c>
      <c r="B61" s="45"/>
      <c r="C61" s="244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51"/>
      <c r="O61" s="51"/>
    </row>
    <row r="62" spans="1:15" ht="12">
      <c r="A62" s="557" t="s">
        <v>56</v>
      </c>
      <c r="B62" s="558"/>
      <c r="C62" s="242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51"/>
      <c r="O62" s="51"/>
    </row>
    <row r="63" spans="1:15" ht="12">
      <c r="A63" s="44" t="s">
        <v>243</v>
      </c>
      <c r="B63" s="45"/>
      <c r="C63" s="244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51"/>
      <c r="O63" s="51"/>
    </row>
    <row r="64" spans="1:15" ht="12">
      <c r="A64" s="557" t="s">
        <v>57</v>
      </c>
      <c r="B64" s="558"/>
      <c r="C64" s="242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51"/>
      <c r="O64" s="51"/>
    </row>
    <row r="65" spans="1:15" ht="12">
      <c r="A65" s="44" t="s">
        <v>243</v>
      </c>
      <c r="B65" s="45"/>
      <c r="C65" s="244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51"/>
      <c r="O65" s="51"/>
    </row>
    <row r="66" spans="1:13" ht="12" thickBot="1">
      <c r="A66" s="556" t="s">
        <v>69</v>
      </c>
      <c r="B66" s="556"/>
      <c r="C66" s="25">
        <f aca="true" t="shared" si="23" ref="C66:M66">+C58+C60+C62+C64</f>
        <v>0</v>
      </c>
      <c r="D66" s="25">
        <f t="shared" si="23"/>
        <v>30000</v>
      </c>
      <c r="E66" s="25">
        <f>+E58+E60+E62+E64</f>
        <v>60000</v>
      </c>
      <c r="F66" s="25">
        <f>+F58+F60+F62+F64</f>
        <v>120000</v>
      </c>
      <c r="G66" s="25">
        <f>+G58+G60+G62+G64</f>
        <v>240000</v>
      </c>
      <c r="H66" s="25">
        <f>+H58+H60+H62+H64</f>
        <v>244800</v>
      </c>
      <c r="I66" s="25">
        <f>+I58+I60+I62+I64</f>
        <v>249696</v>
      </c>
      <c r="J66" s="25">
        <f t="shared" si="23"/>
        <v>259683</v>
      </c>
      <c r="K66" s="25">
        <f t="shared" si="23"/>
        <v>270070</v>
      </c>
      <c r="L66" s="25">
        <f t="shared" si="23"/>
        <v>280872</v>
      </c>
      <c r="M66" s="25">
        <f t="shared" si="23"/>
        <v>292106</v>
      </c>
    </row>
    <row r="67" spans="1:15" ht="12" thickTop="1">
      <c r="A67" s="53"/>
      <c r="B67" s="54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</row>
    <row r="68" spans="1:15" ht="12">
      <c r="A68" s="53"/>
      <c r="B68" s="54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</row>
    <row r="69" spans="1:15" ht="12">
      <c r="A69" s="560" t="s">
        <v>124</v>
      </c>
      <c r="B69" s="560"/>
      <c r="C69" s="56">
        <f aca="true" t="shared" si="24" ref="C69:M69">+C29</f>
        <v>3170700</v>
      </c>
      <c r="D69" s="56">
        <f t="shared" si="24"/>
        <v>7757646</v>
      </c>
      <c r="E69" s="56">
        <f>+E29</f>
        <v>7990375.38</v>
      </c>
      <c r="F69" s="56">
        <f>+F29</f>
        <v>8309981.9399999995</v>
      </c>
      <c r="G69" s="56">
        <f>+G29</f>
        <v>8725343.64</v>
      </c>
      <c r="H69" s="56">
        <f>+H29</f>
        <v>9248720.52</v>
      </c>
      <c r="I69" s="56">
        <f>+I29</f>
        <v>9895966.08</v>
      </c>
      <c r="J69" s="56">
        <f t="shared" si="24"/>
        <v>10687584.18</v>
      </c>
      <c r="K69" s="56">
        <f t="shared" si="24"/>
        <v>11649363.18</v>
      </c>
      <c r="L69" s="56">
        <f t="shared" si="24"/>
        <v>12814278.359999998</v>
      </c>
      <c r="M69" s="56">
        <f t="shared" si="24"/>
        <v>14223760.2</v>
      </c>
      <c r="N69" s="51"/>
      <c r="O69" s="51"/>
    </row>
    <row r="70" spans="1:15" ht="12">
      <c r="A70" s="560" t="s">
        <v>125</v>
      </c>
      <c r="B70" s="560"/>
      <c r="C70" s="56">
        <f aca="true" t="shared" si="25" ref="C70:M70">+C41</f>
        <v>12682799.999999998</v>
      </c>
      <c r="D70" s="56">
        <f t="shared" si="25"/>
        <v>25365599.999999996</v>
      </c>
      <c r="E70" s="56">
        <f>+E41</f>
        <v>50731199.99999999</v>
      </c>
      <c r="F70" s="56">
        <f>+F41</f>
        <v>60939867.559999995</v>
      </c>
      <c r="G70" s="56">
        <f>+G41</f>
        <v>63985853.35999999</v>
      </c>
      <c r="H70" s="56">
        <f>+H41</f>
        <v>67823950.47999999</v>
      </c>
      <c r="I70" s="56">
        <f>+I41</f>
        <v>72570417.91999999</v>
      </c>
      <c r="J70" s="56">
        <f t="shared" si="25"/>
        <v>78375617.32</v>
      </c>
      <c r="K70" s="56">
        <f t="shared" si="25"/>
        <v>85428663.32</v>
      </c>
      <c r="L70" s="56">
        <f t="shared" si="25"/>
        <v>94033379.44</v>
      </c>
      <c r="M70" s="56">
        <f t="shared" si="25"/>
        <v>104307574.8</v>
      </c>
      <c r="N70" s="51"/>
      <c r="O70" s="51"/>
    </row>
    <row r="71" spans="1:15" ht="12">
      <c r="A71" s="560" t="s">
        <v>45</v>
      </c>
      <c r="B71" s="560"/>
      <c r="C71" s="61">
        <f aca="true" t="shared" si="26" ref="C71:M71">+C69+C70</f>
        <v>15853499.999999998</v>
      </c>
      <c r="D71" s="61">
        <f t="shared" si="26"/>
        <v>33123245.999999996</v>
      </c>
      <c r="E71" s="61">
        <f>+E69+E70</f>
        <v>58721575.379999995</v>
      </c>
      <c r="F71" s="61">
        <f>+F69+F70</f>
        <v>69249849.5</v>
      </c>
      <c r="G71" s="61">
        <f>+G69+G70</f>
        <v>72711197</v>
      </c>
      <c r="H71" s="61">
        <f>+H69+H70</f>
        <v>77072670.99999999</v>
      </c>
      <c r="I71" s="61">
        <f>+I69+I70</f>
        <v>82466383.99999999</v>
      </c>
      <c r="J71" s="61">
        <f t="shared" si="26"/>
        <v>89063201.5</v>
      </c>
      <c r="K71" s="61">
        <f t="shared" si="26"/>
        <v>97078026.5</v>
      </c>
      <c r="L71" s="61">
        <f t="shared" si="26"/>
        <v>106847657.8</v>
      </c>
      <c r="M71" s="61">
        <f t="shared" si="26"/>
        <v>118531335</v>
      </c>
      <c r="N71" s="51"/>
      <c r="O71" s="51"/>
    </row>
    <row r="72" spans="1:15" ht="12" thickBot="1">
      <c r="A72" s="399" t="s">
        <v>102</v>
      </c>
      <c r="B72" s="400">
        <f>+Pressupostos!B18</f>
        <v>0.06</v>
      </c>
      <c r="C72" s="25">
        <f aca="true" t="shared" si="27" ref="C72:M72">+C69*$B$72</f>
        <v>190242</v>
      </c>
      <c r="D72" s="25">
        <f t="shared" si="27"/>
        <v>465458.76</v>
      </c>
      <c r="E72" s="25">
        <f>+E69*$B$72</f>
        <v>479422.5228</v>
      </c>
      <c r="F72" s="25">
        <f>+F69*$B$72</f>
        <v>498598.91639999993</v>
      </c>
      <c r="G72" s="25">
        <f>+G69*$B$72</f>
        <v>523520.61840000004</v>
      </c>
      <c r="H72" s="25">
        <f>+H69*$B$72</f>
        <v>554923.2311999999</v>
      </c>
      <c r="I72" s="25">
        <f>+I69*$B$72</f>
        <v>593757.9648</v>
      </c>
      <c r="J72" s="25">
        <f t="shared" si="27"/>
        <v>641255.0508</v>
      </c>
      <c r="K72" s="25">
        <f t="shared" si="27"/>
        <v>698961.7908</v>
      </c>
      <c r="L72" s="25">
        <f t="shared" si="27"/>
        <v>768856.7015999998</v>
      </c>
      <c r="M72" s="25">
        <f t="shared" si="27"/>
        <v>853425.612</v>
      </c>
      <c r="N72" s="51"/>
      <c r="O72" s="51"/>
    </row>
    <row r="73" spans="1:15" ht="12" thickTop="1">
      <c r="A73" s="46"/>
      <c r="B73" s="5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</row>
    <row r="74" spans="1:15" s="59" customFormat="1" ht="12">
      <c r="A74" s="46"/>
      <c r="B74" s="5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8"/>
      <c r="O74" s="58"/>
    </row>
    <row r="75" spans="1:15" ht="12">
      <c r="A75" s="561" t="s">
        <v>223</v>
      </c>
      <c r="B75" s="561"/>
      <c r="C75" s="56">
        <f aca="true" t="shared" si="28" ref="C75:M75">+C54</f>
        <v>360000</v>
      </c>
      <c r="D75" s="56">
        <f t="shared" si="28"/>
        <v>455050</v>
      </c>
      <c r="E75" s="56">
        <f>+E54</f>
        <v>686900</v>
      </c>
      <c r="F75" s="56">
        <f>+F54</f>
        <v>723400</v>
      </c>
      <c r="G75" s="56">
        <f>+G54</f>
        <v>723650</v>
      </c>
      <c r="H75" s="56">
        <f>+H54</f>
        <v>724155</v>
      </c>
      <c r="I75" s="56">
        <f>+I54</f>
        <v>724670</v>
      </c>
      <c r="J75" s="56">
        <f t="shared" si="28"/>
        <v>725195</v>
      </c>
      <c r="K75" s="56">
        <f t="shared" si="28"/>
        <v>725730</v>
      </c>
      <c r="L75" s="56">
        <f t="shared" si="28"/>
        <v>726276</v>
      </c>
      <c r="M75" s="56">
        <f t="shared" si="28"/>
        <v>726833</v>
      </c>
      <c r="N75" s="51"/>
      <c r="O75" s="51"/>
    </row>
    <row r="76" spans="1:15" ht="12">
      <c r="A76" s="561" t="s">
        <v>165</v>
      </c>
      <c r="B76" s="561"/>
      <c r="C76" s="56">
        <f aca="true" t="shared" si="29" ref="C76:M76">+C66</f>
        <v>0</v>
      </c>
      <c r="D76" s="56">
        <f t="shared" si="29"/>
        <v>30000</v>
      </c>
      <c r="E76" s="56">
        <f>+E66</f>
        <v>60000</v>
      </c>
      <c r="F76" s="56">
        <f>+F66</f>
        <v>120000</v>
      </c>
      <c r="G76" s="56">
        <f>+G66</f>
        <v>240000</v>
      </c>
      <c r="H76" s="56">
        <f>+H66</f>
        <v>244800</v>
      </c>
      <c r="I76" s="56">
        <f>+I66</f>
        <v>249696</v>
      </c>
      <c r="J76" s="56">
        <f t="shared" si="29"/>
        <v>259683</v>
      </c>
      <c r="K76" s="56">
        <f t="shared" si="29"/>
        <v>270070</v>
      </c>
      <c r="L76" s="56">
        <f t="shared" si="29"/>
        <v>280872</v>
      </c>
      <c r="M76" s="56">
        <f t="shared" si="29"/>
        <v>292106</v>
      </c>
      <c r="N76" s="51"/>
      <c r="O76" s="51"/>
    </row>
    <row r="77" spans="1:15" ht="12">
      <c r="A77" s="561" t="s">
        <v>126</v>
      </c>
      <c r="B77" s="561"/>
      <c r="C77" s="61">
        <f aca="true" t="shared" si="30" ref="C77:M77">+C75+C76</f>
        <v>360000</v>
      </c>
      <c r="D77" s="61">
        <f t="shared" si="30"/>
        <v>485050</v>
      </c>
      <c r="E77" s="61">
        <f>+E75+E76</f>
        <v>746900</v>
      </c>
      <c r="F77" s="61">
        <f>+F75+F76</f>
        <v>843400</v>
      </c>
      <c r="G77" s="61">
        <f>+G75+G76</f>
        <v>963650</v>
      </c>
      <c r="H77" s="61">
        <f>+H75+H76</f>
        <v>968955</v>
      </c>
      <c r="I77" s="61">
        <f>+I75+I76</f>
        <v>974366</v>
      </c>
      <c r="J77" s="61">
        <f t="shared" si="30"/>
        <v>984878</v>
      </c>
      <c r="K77" s="61">
        <f t="shared" si="30"/>
        <v>995800</v>
      </c>
      <c r="L77" s="61">
        <f t="shared" si="30"/>
        <v>1007148</v>
      </c>
      <c r="M77" s="61">
        <f t="shared" si="30"/>
        <v>1018939</v>
      </c>
      <c r="N77" s="51"/>
      <c r="O77" s="51"/>
    </row>
    <row r="78" spans="1:15" ht="12" thickBot="1">
      <c r="A78" s="399" t="s">
        <v>166</v>
      </c>
      <c r="B78" s="400">
        <f>+Pressupostos!B19</f>
        <v>0.23</v>
      </c>
      <c r="C78" s="25">
        <f aca="true" t="shared" si="31" ref="C78:M78">+C75*$B$78</f>
        <v>82800</v>
      </c>
      <c r="D78" s="25">
        <f t="shared" si="31"/>
        <v>104661.5</v>
      </c>
      <c r="E78" s="25">
        <f>+E75*$B$78</f>
        <v>157987</v>
      </c>
      <c r="F78" s="25">
        <f>+F75*$B$78</f>
        <v>166382</v>
      </c>
      <c r="G78" s="25">
        <f>+G75*$B$78</f>
        <v>166439.5</v>
      </c>
      <c r="H78" s="25">
        <f>+H75*$B$78</f>
        <v>166555.65</v>
      </c>
      <c r="I78" s="25">
        <f>+I75*$B$78</f>
        <v>166674.1</v>
      </c>
      <c r="J78" s="25">
        <f t="shared" si="31"/>
        <v>166794.85</v>
      </c>
      <c r="K78" s="25">
        <f t="shared" si="31"/>
        <v>166917.9</v>
      </c>
      <c r="L78" s="25">
        <f t="shared" si="31"/>
        <v>167043.48</v>
      </c>
      <c r="M78" s="25">
        <f t="shared" si="31"/>
        <v>167171.59</v>
      </c>
      <c r="N78" s="51"/>
      <c r="O78" s="51"/>
    </row>
    <row r="79" spans="1:15" ht="12" thickTop="1">
      <c r="A79" s="53"/>
      <c r="B79" s="54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51"/>
    </row>
    <row r="80" spans="1:15" ht="12" thickBot="1">
      <c r="A80" s="559" t="s">
        <v>46</v>
      </c>
      <c r="B80" s="559"/>
      <c r="C80" s="25">
        <f aca="true" t="shared" si="32" ref="C80:M80">+C71+C77</f>
        <v>16213499.999999998</v>
      </c>
      <c r="D80" s="25">
        <f t="shared" si="32"/>
        <v>33608296</v>
      </c>
      <c r="E80" s="25">
        <f>+E71+E77</f>
        <v>59468475.379999995</v>
      </c>
      <c r="F80" s="25">
        <f>+F71+F77</f>
        <v>70093249.5</v>
      </c>
      <c r="G80" s="25">
        <f>+G71+G77</f>
        <v>73674847</v>
      </c>
      <c r="H80" s="25">
        <f>+H71+H77</f>
        <v>78041625.99999999</v>
      </c>
      <c r="I80" s="25">
        <f>+I71+I77</f>
        <v>83440749.99999999</v>
      </c>
      <c r="J80" s="25">
        <f t="shared" si="32"/>
        <v>90048079.5</v>
      </c>
      <c r="K80" s="25">
        <f t="shared" si="32"/>
        <v>98073826.5</v>
      </c>
      <c r="L80" s="25">
        <f t="shared" si="32"/>
        <v>107854805.8</v>
      </c>
      <c r="M80" s="25">
        <f t="shared" si="32"/>
        <v>119550274</v>
      </c>
      <c r="N80" s="51"/>
      <c r="O80" s="51"/>
    </row>
    <row r="81" spans="1:15" ht="12" thickTop="1">
      <c r="A81" s="53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51"/>
    </row>
    <row r="82" spans="1:15" ht="12" thickBot="1">
      <c r="A82" s="559" t="s">
        <v>43</v>
      </c>
      <c r="B82" s="559"/>
      <c r="C82" s="25">
        <f aca="true" t="shared" si="33" ref="C82:M82">+C72+C78</f>
        <v>273042</v>
      </c>
      <c r="D82" s="25">
        <f t="shared" si="33"/>
        <v>570120.26</v>
      </c>
      <c r="E82" s="25">
        <f>+E72+E78</f>
        <v>637409.5227999999</v>
      </c>
      <c r="F82" s="25">
        <f>+F72+F78</f>
        <v>664980.9164</v>
      </c>
      <c r="G82" s="25">
        <f>+G72+G78</f>
        <v>689960.1184</v>
      </c>
      <c r="H82" s="25">
        <f>+H72+H78</f>
        <v>721478.8812</v>
      </c>
      <c r="I82" s="25">
        <f>+I72+I78</f>
        <v>760432.0647999999</v>
      </c>
      <c r="J82" s="25">
        <f t="shared" si="33"/>
        <v>808049.9008</v>
      </c>
      <c r="K82" s="25">
        <f t="shared" si="33"/>
        <v>865879.6908</v>
      </c>
      <c r="L82" s="25">
        <f t="shared" si="33"/>
        <v>935900.1815999998</v>
      </c>
      <c r="M82" s="25">
        <f t="shared" si="33"/>
        <v>1020597.2019999999</v>
      </c>
      <c r="N82" s="51"/>
      <c r="O82" s="51"/>
    </row>
    <row r="83" spans="1:15" ht="12" thickTop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51"/>
      <c r="O83" s="51"/>
    </row>
    <row r="84" spans="1:15" ht="12" thickBot="1">
      <c r="A84" s="559" t="s">
        <v>50</v>
      </c>
      <c r="B84" s="559"/>
      <c r="C84" s="25">
        <f aca="true" t="shared" si="34" ref="C84:M84">+C80+C82</f>
        <v>16486541.999999998</v>
      </c>
      <c r="D84" s="25">
        <f t="shared" si="34"/>
        <v>34178416.26</v>
      </c>
      <c r="E84" s="25">
        <f>+E80+E82</f>
        <v>60105884.902799994</v>
      </c>
      <c r="F84" s="25">
        <f>+F80+F82</f>
        <v>70758230.4164</v>
      </c>
      <c r="G84" s="25">
        <f>+G80+G82</f>
        <v>74364807.11840001</v>
      </c>
      <c r="H84" s="25">
        <f>+H80+H82</f>
        <v>78763104.88119999</v>
      </c>
      <c r="I84" s="25">
        <f>+I80+I82</f>
        <v>84201182.06479998</v>
      </c>
      <c r="J84" s="25">
        <f t="shared" si="34"/>
        <v>90856129.4008</v>
      </c>
      <c r="K84" s="25">
        <f t="shared" si="34"/>
        <v>98939706.1908</v>
      </c>
      <c r="L84" s="25">
        <f t="shared" si="34"/>
        <v>108790705.9816</v>
      </c>
      <c r="M84" s="25">
        <f t="shared" si="34"/>
        <v>120570871.202</v>
      </c>
      <c r="N84" s="51"/>
      <c r="O84" s="51"/>
    </row>
    <row r="85" spans="1:15" ht="12" thickTop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51"/>
      <c r="O85" s="51"/>
    </row>
    <row r="86" spans="1:15" ht="1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51"/>
      <c r="O86" s="51"/>
    </row>
    <row r="87" spans="1:15" ht="12" thickBot="1">
      <c r="A87" s="401" t="s">
        <v>183</v>
      </c>
      <c r="B87" s="402">
        <v>0</v>
      </c>
      <c r="C87" s="25">
        <f aca="true" t="shared" si="35" ref="C87:M87">+$B$87*C84</f>
        <v>0</v>
      </c>
      <c r="D87" s="25">
        <f t="shared" si="35"/>
        <v>0</v>
      </c>
      <c r="E87" s="25">
        <f>+$B$87*E84</f>
        <v>0</v>
      </c>
      <c r="F87" s="25">
        <f>+$B$87*F84</f>
        <v>0</v>
      </c>
      <c r="G87" s="25">
        <f>+$B$87*G84</f>
        <v>0</v>
      </c>
      <c r="H87" s="25">
        <f>+$B$87*H84</f>
        <v>0</v>
      </c>
      <c r="I87" s="25">
        <f>+$B$87*I84</f>
        <v>0</v>
      </c>
      <c r="J87" s="25">
        <f t="shared" si="35"/>
        <v>0</v>
      </c>
      <c r="K87" s="25">
        <f t="shared" si="35"/>
        <v>0</v>
      </c>
      <c r="L87" s="25">
        <f t="shared" si="35"/>
        <v>0</v>
      </c>
      <c r="M87" s="25">
        <f t="shared" si="35"/>
        <v>0</v>
      </c>
      <c r="N87" s="51"/>
      <c r="O87" s="51"/>
    </row>
    <row r="88" spans="1:13" ht="12" thickTop="1">
      <c r="A88" s="43"/>
      <c r="B88" s="43" t="s">
        <v>244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1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ht="1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1:13" ht="1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1:13" ht="1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1:13" ht="1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ht="1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ht="1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ht="1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ht="1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ht="1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ht="1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ht="1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ht="1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ht="1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1:13" ht="1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  <row r="141" spans="1:13" ht="1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</row>
    <row r="142" spans="1:13" ht="1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</row>
    <row r="143" spans="1:13" ht="1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ht="1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1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</row>
    <row r="147" spans="1:13" ht="1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ht="1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1:13" ht="1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ht="1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1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13" ht="1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3" ht="1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3" ht="1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3" ht="1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3" ht="1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3" ht="1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1:13" ht="1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3" ht="1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3" ht="1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ht="1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 ht="1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ht="1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ht="1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 ht="1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 ht="1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 ht="1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 ht="1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1:13" ht="1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1:13" ht="1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spans="1:13" ht="1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</row>
    <row r="173" spans="1:13" ht="1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1:13" ht="1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1:13" ht="1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</row>
    <row r="176" spans="1:13" ht="1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</row>
    <row r="177" spans="1:13" ht="1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1:13" ht="1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</row>
    <row r="179" spans="1:13" ht="1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</row>
    <row r="180" spans="1:13" ht="1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ht="1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</row>
    <row r="182" spans="1:13" ht="1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1:13" ht="1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</row>
    <row r="184" spans="1:13" ht="1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1:13" ht="1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1:13" ht="1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</row>
    <row r="187" spans="1:13" ht="1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ht="1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1:13" ht="1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ht="1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1:13" ht="1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1:13" ht="1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</row>
    <row r="193" spans="1:13" ht="1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1:13" ht="1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13" ht="1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  <row r="196" spans="1:13" ht="1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spans="1:13" ht="1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1:13" ht="1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</row>
    <row r="199" spans="1:13" ht="1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</row>
    <row r="200" spans="1:13" ht="1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</row>
    <row r="201" spans="1:13" ht="1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</row>
    <row r="202" spans="1:13" ht="1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</row>
    <row r="203" spans="1:13" ht="1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</row>
  </sheetData>
  <sheetProtection password="8318" sheet="1"/>
  <mergeCells count="33">
    <mergeCell ref="A4:M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B72 B78 D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N140"/>
  <sheetViews>
    <sheetView showGridLines="0" showZeros="0" zoomScalePageLayoutView="0" workbookViewId="0" topLeftCell="A8">
      <selection activeCell="A28" sqref="A28"/>
    </sheetView>
  </sheetViews>
  <sheetFormatPr defaultColWidth="9.140625" defaultRowHeight="12.75"/>
  <cols>
    <col min="1" max="1" width="30.7109375" style="36" customWidth="1"/>
    <col min="2" max="2" width="7.8515625" style="36" customWidth="1"/>
    <col min="3" max="3" width="8.7109375" style="36" customWidth="1"/>
    <col min="4" max="4" width="8.57421875" style="36" customWidth="1"/>
    <col min="5" max="7" width="7.8515625" style="36" customWidth="1"/>
    <col min="8" max="13" width="8.421875" style="36" customWidth="1"/>
    <col min="14" max="19" width="11.421875" style="36" customWidth="1"/>
    <col min="20" max="16384" width="8.7109375" style="36" customWidth="1"/>
  </cols>
  <sheetData>
    <row r="1" spans="1:13" ht="13.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97" t="s">
        <v>13</v>
      </c>
      <c r="M1" s="398" t="str">
        <f>+Pressupostos!E1</f>
        <v>JUPITER</v>
      </c>
    </row>
    <row r="2" spans="1:14" ht="13.5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8" t="str">
        <f>+Pressupostos!B9</f>
        <v>Euros</v>
      </c>
      <c r="N2" s="51"/>
    </row>
    <row r="3" spans="1:14" ht="13.5">
      <c r="A3" s="37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8"/>
      <c r="N3" s="51"/>
    </row>
    <row r="4" spans="1:14" ht="15.75">
      <c r="A4" s="562" t="s">
        <v>52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1"/>
    </row>
    <row r="5" spans="1:14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51"/>
    </row>
    <row r="6" spans="1:14" ht="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1"/>
    </row>
    <row r="7" spans="1:14" ht="21">
      <c r="A7" s="403" t="s">
        <v>15</v>
      </c>
      <c r="B7" s="62" t="s">
        <v>379</v>
      </c>
      <c r="C7" s="63">
        <f>+VN!C8</f>
        <v>2021</v>
      </c>
      <c r="D7" s="63">
        <f>+VN!D8</f>
        <v>2022</v>
      </c>
      <c r="E7" s="63">
        <f>+VN!E8</f>
        <v>2023</v>
      </c>
      <c r="F7" s="63">
        <f>+VN!F8</f>
        <v>2024</v>
      </c>
      <c r="G7" s="63">
        <f>+VN!G8</f>
        <v>2025</v>
      </c>
      <c r="H7" s="63">
        <f>+VN!H8</f>
        <v>2026</v>
      </c>
      <c r="I7" s="63">
        <f>+VN!I8</f>
        <v>2027</v>
      </c>
      <c r="J7" s="63">
        <f>+VN!J8</f>
        <v>2028</v>
      </c>
      <c r="K7" s="63">
        <f>+VN!K8</f>
        <v>2029</v>
      </c>
      <c r="L7" s="63">
        <f>+VN!L8</f>
        <v>2030</v>
      </c>
      <c r="M7" s="63">
        <f>+VN!M8</f>
        <v>2031</v>
      </c>
      <c r="N7" s="51"/>
    </row>
    <row r="8" spans="1:14" ht="12">
      <c r="A8" s="403" t="s">
        <v>137</v>
      </c>
      <c r="B8" s="319"/>
      <c r="C8" s="320">
        <f aca="true" t="shared" si="0" ref="C8:M8">+SUM(C9:C12)</f>
        <v>335037.29999999993</v>
      </c>
      <c r="D8" s="320">
        <f t="shared" si="0"/>
        <v>819724.5939999999</v>
      </c>
      <c r="E8" s="320">
        <f t="shared" si="0"/>
        <v>844316.3318199998</v>
      </c>
      <c r="F8" s="320">
        <f t="shared" si="0"/>
        <v>878088.0916599999</v>
      </c>
      <c r="G8" s="320">
        <f t="shared" si="0"/>
        <v>921977.9779599998</v>
      </c>
      <c r="H8" s="320">
        <f t="shared" si="0"/>
        <v>977281.4682799998</v>
      </c>
      <c r="I8" s="320">
        <f t="shared" si="0"/>
        <v>1045673.7491199998</v>
      </c>
      <c r="J8" s="320">
        <f t="shared" si="0"/>
        <v>1129321.3950199997</v>
      </c>
      <c r="K8" s="320">
        <f t="shared" si="0"/>
        <v>1230949.3760199996</v>
      </c>
      <c r="L8" s="320">
        <f t="shared" si="0"/>
        <v>1354042.0800399997</v>
      </c>
      <c r="M8" s="320">
        <f t="shared" si="0"/>
        <v>1502977.3277999996</v>
      </c>
      <c r="N8" s="51"/>
    </row>
    <row r="9" spans="1:14" ht="12">
      <c r="A9" s="64" t="str">
        <f>+VN!A13</f>
        <v>Produto A *</v>
      </c>
      <c r="B9" s="22">
        <v>0.8777</v>
      </c>
      <c r="C9" s="321">
        <f>VN!C13*(1-CMVMC!$B$9)</f>
        <v>129258.86999999997</v>
      </c>
      <c r="D9" s="321">
        <f>VN!D13*(1-CMVMC!$B$9)</f>
        <v>316253.3685999999</v>
      </c>
      <c r="E9" s="321">
        <f>VN!E13*(1-CMVMC!$B$9)</f>
        <v>325740.9696579999</v>
      </c>
      <c r="F9" s="321">
        <f>VN!F13*(1-CMVMC!$B$9)</f>
        <v>338770.2637539999</v>
      </c>
      <c r="G9" s="321">
        <f>VN!G13*(1-CMVMC!$B$9)</f>
        <v>355703.17572399986</v>
      </c>
      <c r="H9" s="321">
        <f>VN!H13*(1-CMVMC!$B$9)</f>
        <v>377039.50653199985</v>
      </c>
      <c r="I9" s="321">
        <f>VN!I13*(1-CMVMC!$B$9)</f>
        <v>403425.5505279999</v>
      </c>
      <c r="J9" s="321">
        <f>VN!J13*(1-CMVMC!$B$9)</f>
        <v>435697.18173799984</v>
      </c>
      <c r="K9" s="321">
        <f>VN!K13*(1-CMVMC!$B$9)</f>
        <v>474905.7056379998</v>
      </c>
      <c r="L9" s="321">
        <f>VN!L13*(1-CMVMC!$B$9)</f>
        <v>522395.4144759998</v>
      </c>
      <c r="M9" s="321">
        <f>VN!M13*(1-CMVMC!$B$9)</f>
        <v>579855.2908199998</v>
      </c>
      <c r="N9" s="51"/>
    </row>
    <row r="10" spans="1:14" ht="12">
      <c r="A10" s="64" t="str">
        <f>+VN!A17</f>
        <v>Produto B *</v>
      </c>
      <c r="B10" s="22">
        <v>0.8897</v>
      </c>
      <c r="C10" s="321">
        <f>VN!C17*(1-CMVMC!$B$10)</f>
        <v>116576.06999999995</v>
      </c>
      <c r="D10" s="321">
        <f>VN!D17*(1-CMVMC!$B$10)</f>
        <v>285222.7845999999</v>
      </c>
      <c r="E10" s="321">
        <f>VN!E17*(1-CMVMC!$B$10)</f>
        <v>293779.4681379999</v>
      </c>
      <c r="F10" s="321">
        <f>VN!F17*(1-CMVMC!$B$10)</f>
        <v>305530.33599399985</v>
      </c>
      <c r="G10" s="321">
        <f>VN!G17*(1-CMVMC!$B$10)</f>
        <v>320801.80116399983</v>
      </c>
      <c r="H10" s="321">
        <f>VN!H17*(1-CMVMC!$B$10)</f>
        <v>340044.62445199984</v>
      </c>
      <c r="I10" s="321">
        <f>VN!I17*(1-CMVMC!$B$10)</f>
        <v>363841.6862079998</v>
      </c>
      <c r="J10" s="321">
        <f>VN!J17*(1-CMVMC!$B$10)</f>
        <v>392946.8450179998</v>
      </c>
      <c r="K10" s="321">
        <f>VN!K17*(1-CMVMC!$B$10)</f>
        <v>428308.25291799975</v>
      </c>
      <c r="L10" s="321">
        <f>VN!L17*(1-CMVMC!$B$10)</f>
        <v>471138.3010359997</v>
      </c>
      <c r="M10" s="321">
        <f>VN!M17*(1-CMVMC!$B$10)</f>
        <v>522960.25001999974</v>
      </c>
      <c r="N10" s="51"/>
    </row>
    <row r="11" spans="1:14" ht="12">
      <c r="A11" s="64" t="str">
        <f>+VN!A21</f>
        <v>Produto C *</v>
      </c>
      <c r="B11" s="22">
        <v>0.9156</v>
      </c>
      <c r="C11" s="321">
        <f>VN!C21*(1-CMVMC!$B$11)</f>
        <v>89202.36000000003</v>
      </c>
      <c r="D11" s="321">
        <f>VN!D21*(1-CMVMC!$B$11)</f>
        <v>218248.44080000007</v>
      </c>
      <c r="E11" s="321">
        <f>VN!E21*(1-CMVMC!$B$11)</f>
        <v>224795.89402400007</v>
      </c>
      <c r="F11" s="321">
        <f>VN!F21*(1-CMVMC!$B$11)</f>
        <v>233787.49191200008</v>
      </c>
      <c r="G11" s="321">
        <f>VN!G21*(1-CMVMC!$B$11)</f>
        <v>245473.00107200007</v>
      </c>
      <c r="H11" s="321">
        <f>VN!H21*(1-CMVMC!$B$11)</f>
        <v>260197.33729600007</v>
      </c>
      <c r="I11" s="321">
        <f>VN!I21*(1-CMVMC!$B$11)</f>
        <v>278406.5123840001</v>
      </c>
      <c r="J11" s="321">
        <f>VN!J21*(1-CMVMC!$B$11)</f>
        <v>300677.36826400005</v>
      </c>
      <c r="K11" s="321">
        <f>VN!K21*(1-CMVMC!$B$11)</f>
        <v>327735.41746400006</v>
      </c>
      <c r="L11" s="321">
        <f>VN!L21*(1-CMVMC!$B$11)</f>
        <v>360508.36452800006</v>
      </c>
      <c r="M11" s="321">
        <f>VN!M21*(1-CMVMC!$B$11)</f>
        <v>400161.7869600001</v>
      </c>
      <c r="N11" s="51"/>
    </row>
    <row r="12" spans="1:14" ht="12">
      <c r="A12" s="64" t="str">
        <f>+VN!A25</f>
        <v>Produto D *</v>
      </c>
      <c r="B12" s="22"/>
      <c r="C12" s="321">
        <f>VN!C25*(1-CMVMC!$B$12)</f>
        <v>0</v>
      </c>
      <c r="D12" s="321">
        <f>VN!D25*(1-CMVMC!$B$12)</f>
        <v>0</v>
      </c>
      <c r="E12" s="321">
        <f>VN!E25*(1-CMVMC!$B$12)</f>
        <v>0</v>
      </c>
      <c r="F12" s="321">
        <f>VN!F25*(1-CMVMC!$B$12)</f>
        <v>0</v>
      </c>
      <c r="G12" s="321">
        <f>VN!G25*(1-CMVMC!$B$12)</f>
        <v>0</v>
      </c>
      <c r="H12" s="321">
        <f>VN!H25*(1-CMVMC!$B$12)</f>
        <v>0</v>
      </c>
      <c r="I12" s="321">
        <f>VN!I25*(1-CMVMC!$B$12)</f>
        <v>0</v>
      </c>
      <c r="J12" s="321">
        <f>VN!J25*(1-CMVMC!$B$12)</f>
        <v>0</v>
      </c>
      <c r="K12" s="321">
        <f>VN!K25*(1-CMVMC!$B$12)</f>
        <v>0</v>
      </c>
      <c r="L12" s="321">
        <f>VN!L25*(1-CMVMC!$B$12)</f>
        <v>0</v>
      </c>
      <c r="M12" s="321">
        <f>VN!M25*(1-CMVMC!$B$12)</f>
        <v>0</v>
      </c>
      <c r="N12" s="51"/>
    </row>
    <row r="13" spans="1:14" ht="12">
      <c r="A13" s="403" t="s">
        <v>138</v>
      </c>
      <c r="B13" s="65"/>
      <c r="C13" s="91">
        <f aca="true" t="shared" si="1" ref="C13:M13">+C15+C14</f>
        <v>2229002.099999999</v>
      </c>
      <c r="D13" s="91">
        <f t="shared" si="1"/>
        <v>4458004.199999998</v>
      </c>
      <c r="E13" s="91">
        <f t="shared" si="1"/>
        <v>8916008.399999997</v>
      </c>
      <c r="F13" s="91">
        <f t="shared" si="1"/>
        <v>10710181.723669996</v>
      </c>
      <c r="G13" s="91">
        <f t="shared" si="1"/>
        <v>11245513.728019996</v>
      </c>
      <c r="H13" s="91">
        <f t="shared" si="1"/>
        <v>11920059.296859995</v>
      </c>
      <c r="I13" s="91">
        <f t="shared" si="1"/>
        <v>12754250.949439995</v>
      </c>
      <c r="J13" s="91">
        <f t="shared" si="1"/>
        <v>13774514.743989997</v>
      </c>
      <c r="K13" s="91">
        <f t="shared" si="1"/>
        <v>15014087.578489996</v>
      </c>
      <c r="L13" s="91">
        <f t="shared" si="1"/>
        <v>16526366.436579997</v>
      </c>
      <c r="M13" s="91">
        <f t="shared" si="1"/>
        <v>18332056.271099996</v>
      </c>
      <c r="N13" s="51"/>
    </row>
    <row r="14" spans="1:14" ht="12">
      <c r="A14" s="64" t="str">
        <f>+VN!A33</f>
        <v>Produto A *</v>
      </c>
      <c r="B14" s="22">
        <v>0.8182</v>
      </c>
      <c r="C14" s="321">
        <f>VN!C33*(1-CMVMC!$B$14)</f>
        <v>1152866.5199999996</v>
      </c>
      <c r="D14" s="321">
        <f>VN!D33*(1-CMVMC!$B$14)</f>
        <v>2305733.039999999</v>
      </c>
      <c r="E14" s="321">
        <f>VN!E33*(1-CMVMC!$B$14)</f>
        <v>4611466.079999998</v>
      </c>
      <c r="F14" s="321">
        <f>VN!F33*(1-CMVMC!$B$14)</f>
        <v>5539433.961203998</v>
      </c>
      <c r="G14" s="321">
        <f>VN!G33*(1-CMVMC!$B$14)</f>
        <v>5816314.070423998</v>
      </c>
      <c r="H14" s="321">
        <f>VN!H33*(1-CMVMC!$B$14)</f>
        <v>6165197.098631998</v>
      </c>
      <c r="I14" s="321">
        <f>VN!I33*(1-CMVMC!$B$14)</f>
        <v>6596650.988927998</v>
      </c>
      <c r="J14" s="321">
        <f>VN!J33*(1-CMVMC!$B$14)</f>
        <v>7124343.614387997</v>
      </c>
      <c r="K14" s="321">
        <f>VN!K33*(1-CMVMC!$B$14)</f>
        <v>7765465.495787998</v>
      </c>
      <c r="L14" s="321">
        <f>VN!L33*(1-CMVMC!$B$14)</f>
        <v>8547634.191095999</v>
      </c>
      <c r="M14" s="321">
        <f>VN!M33*(1-CMVMC!$B$14)</f>
        <v>9481558.549319997</v>
      </c>
      <c r="N14" s="51"/>
    </row>
    <row r="15" spans="1:14" ht="12">
      <c r="A15" s="64" t="str">
        <f>+VN!A37</f>
        <v>Produto B *</v>
      </c>
      <c r="B15" s="22">
        <v>0.8303</v>
      </c>
      <c r="C15" s="321">
        <f>VN!C37*(1-CMVMC!$B$15)</f>
        <v>1076135.5799999996</v>
      </c>
      <c r="D15" s="321">
        <f>VN!D37*(1-CMVMC!$B$15)</f>
        <v>2152271.159999999</v>
      </c>
      <c r="E15" s="321">
        <f>VN!E37*(1-CMVMC!$B$15)</f>
        <v>4304542.319999998</v>
      </c>
      <c r="F15" s="321">
        <f>VN!F37*(1-CMVMC!$B$15)</f>
        <v>5170747.7624659985</v>
      </c>
      <c r="G15" s="321">
        <f>VN!G37*(1-CMVMC!$B$15)</f>
        <v>5429199.657595998</v>
      </c>
      <c r="H15" s="321">
        <f>VN!H37*(1-CMVMC!$B$15)</f>
        <v>5754862.198227998</v>
      </c>
      <c r="I15" s="321">
        <f>VN!I37*(1-CMVMC!$B$15)</f>
        <v>6157599.960511997</v>
      </c>
      <c r="J15" s="321">
        <f>VN!J37*(1-CMVMC!$B$15)</f>
        <v>6650171.129601998</v>
      </c>
      <c r="K15" s="321">
        <f>VN!K37*(1-CMVMC!$B$15)</f>
        <v>7248622.082701998</v>
      </c>
      <c r="L15" s="321">
        <f>VN!L37*(1-CMVMC!$B$15)</f>
        <v>7978732.245483998</v>
      </c>
      <c r="M15" s="321">
        <f>VN!M37*(1-CMVMC!$B$15)</f>
        <v>8850497.721779998</v>
      </c>
      <c r="N15" s="51"/>
    </row>
    <row r="16" spans="1:14" ht="12" thickBot="1">
      <c r="A16" s="556" t="s">
        <v>48</v>
      </c>
      <c r="B16" s="556"/>
      <c r="C16" s="322">
        <f aca="true" t="shared" si="2" ref="C16:M16">+C8+C13</f>
        <v>2564039.399999999</v>
      </c>
      <c r="D16" s="322">
        <f t="shared" si="2"/>
        <v>5277728.793999998</v>
      </c>
      <c r="E16" s="322">
        <f t="shared" si="2"/>
        <v>9760324.731819997</v>
      </c>
      <c r="F16" s="322">
        <f t="shared" si="2"/>
        <v>11588269.815329997</v>
      </c>
      <c r="G16" s="322">
        <f t="shared" si="2"/>
        <v>12167491.705979995</v>
      </c>
      <c r="H16" s="322">
        <f t="shared" si="2"/>
        <v>12897340.765139995</v>
      </c>
      <c r="I16" s="322">
        <f t="shared" si="2"/>
        <v>13799924.698559996</v>
      </c>
      <c r="J16" s="322">
        <f t="shared" si="2"/>
        <v>14903836.139009997</v>
      </c>
      <c r="K16" s="322">
        <f t="shared" si="2"/>
        <v>16245036.954509996</v>
      </c>
      <c r="L16" s="322">
        <f t="shared" si="2"/>
        <v>17880408.516619995</v>
      </c>
      <c r="M16" s="322">
        <f t="shared" si="2"/>
        <v>19835033.598899994</v>
      </c>
      <c r="N16" s="51"/>
    </row>
    <row r="17" spans="1:14" ht="12" thickTop="1">
      <c r="A17" s="46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/>
    </row>
    <row r="18" spans="1:14" ht="12" thickBot="1">
      <c r="A18" s="404" t="s">
        <v>43</v>
      </c>
      <c r="B18" s="405">
        <v>0.06</v>
      </c>
      <c r="C18" s="66">
        <f aca="true" t="shared" si="3" ref="C18:M18">+C8*$B$18</f>
        <v>20102.237999999994</v>
      </c>
      <c r="D18" s="66">
        <f t="shared" si="3"/>
        <v>49183.47564</v>
      </c>
      <c r="E18" s="66">
        <f t="shared" si="3"/>
        <v>50658.97990919999</v>
      </c>
      <c r="F18" s="66">
        <f t="shared" si="3"/>
        <v>52685.285499599995</v>
      </c>
      <c r="G18" s="66">
        <f t="shared" si="3"/>
        <v>55318.678677599986</v>
      </c>
      <c r="H18" s="66">
        <f t="shared" si="3"/>
        <v>58636.88809679999</v>
      </c>
      <c r="I18" s="66">
        <f t="shared" si="3"/>
        <v>62740.42494719999</v>
      </c>
      <c r="J18" s="66">
        <f t="shared" si="3"/>
        <v>67759.28370119998</v>
      </c>
      <c r="K18" s="66">
        <f t="shared" si="3"/>
        <v>73856.96256119998</v>
      </c>
      <c r="L18" s="66">
        <f t="shared" si="3"/>
        <v>81242.52480239997</v>
      </c>
      <c r="M18" s="66">
        <f t="shared" si="3"/>
        <v>90178.63966799997</v>
      </c>
      <c r="N18" s="51"/>
    </row>
    <row r="19" spans="1:14" ht="12" thickTop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51"/>
    </row>
    <row r="20" spans="1:14" ht="12" thickBot="1">
      <c r="A20" s="556" t="s">
        <v>49</v>
      </c>
      <c r="B20" s="556"/>
      <c r="C20" s="25">
        <f aca="true" t="shared" si="4" ref="C20:M20">+C16+C18</f>
        <v>2584141.637999999</v>
      </c>
      <c r="D20" s="25">
        <f t="shared" si="4"/>
        <v>5326912.269639998</v>
      </c>
      <c r="E20" s="25">
        <f aca="true" t="shared" si="5" ref="E20:J20">+E16+E18</f>
        <v>9810983.711729197</v>
      </c>
      <c r="F20" s="25">
        <f t="shared" si="5"/>
        <v>11640955.100829598</v>
      </c>
      <c r="G20" s="25">
        <f t="shared" si="5"/>
        <v>12222810.384657595</v>
      </c>
      <c r="H20" s="25">
        <f t="shared" si="5"/>
        <v>12955977.653236795</v>
      </c>
      <c r="I20" s="25">
        <f t="shared" si="5"/>
        <v>13862665.123507196</v>
      </c>
      <c r="J20" s="25">
        <f t="shared" si="5"/>
        <v>14971595.422711197</v>
      </c>
      <c r="K20" s="25">
        <f t="shared" si="4"/>
        <v>16318893.917071195</v>
      </c>
      <c r="L20" s="25">
        <f t="shared" si="4"/>
        <v>17961651.041422397</v>
      </c>
      <c r="M20" s="25">
        <f t="shared" si="4"/>
        <v>19925212.238567993</v>
      </c>
      <c r="N20" s="51"/>
    </row>
    <row r="21" spans="1:14" ht="12" thickTop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1"/>
    </row>
    <row r="22" spans="1:14" ht="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1"/>
    </row>
    <row r="23" spans="1:14" ht="12">
      <c r="A23" s="6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1"/>
    </row>
    <row r="24" spans="1:14" ht="12">
      <c r="A24" s="6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1"/>
    </row>
    <row r="25" spans="1:14" ht="12">
      <c r="A25" s="6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1"/>
    </row>
    <row r="26" spans="1:14" ht="12">
      <c r="A26" s="6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51"/>
    </row>
    <row r="27" spans="1:14" ht="12">
      <c r="A27" s="68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51"/>
    </row>
    <row r="28" spans="1:14" ht="12">
      <c r="A28" s="6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51"/>
    </row>
    <row r="29" spans="1:14" ht="12">
      <c r="A29" s="6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1"/>
    </row>
    <row r="30" spans="1:13" ht="12">
      <c r="A30" s="7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1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1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1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ht="1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ht="1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1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1:13" ht="1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ht="1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1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ht="1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ht="1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7" spans="1:13" ht="1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1:13" ht="1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1:13" ht="1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1:13" ht="1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ht="1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1:13" ht="1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ht="1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ht="1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ht="1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ht="1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ht="1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ht="1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ht="1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  <row r="140" spans="1:13" ht="1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</row>
  </sheetData>
  <sheetProtection/>
  <mergeCells count="3">
    <mergeCell ref="A4:M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53"/>
  <sheetViews>
    <sheetView showGridLines="0" showZeros="0" zoomScalePageLayoutView="0" workbookViewId="0" topLeftCell="A1">
      <selection activeCell="E27" sqref="E27"/>
    </sheetView>
  </sheetViews>
  <sheetFormatPr defaultColWidth="9.140625" defaultRowHeight="12.75"/>
  <cols>
    <col min="1" max="1" width="25.7109375" style="51" customWidth="1"/>
    <col min="2" max="2" width="6.421875" style="51" customWidth="1"/>
    <col min="3" max="4" width="6.421875" style="349" customWidth="1"/>
    <col min="5" max="5" width="8.28125" style="51" bestFit="1" customWidth="1"/>
    <col min="6" max="16" width="9.140625" style="51" bestFit="1" customWidth="1"/>
    <col min="17" max="19" width="11.421875" style="51" customWidth="1"/>
    <col min="20" max="16384" width="8.7109375" style="51" customWidth="1"/>
  </cols>
  <sheetData>
    <row r="1" spans="1:16" ht="12.75">
      <c r="A1" s="43"/>
      <c r="B1" s="43"/>
      <c r="C1" s="334"/>
      <c r="D1" s="334"/>
      <c r="E1" s="35"/>
      <c r="F1" s="35"/>
      <c r="G1" s="35"/>
      <c r="H1" s="35"/>
      <c r="I1" s="35"/>
      <c r="J1" s="35"/>
      <c r="K1" s="35"/>
      <c r="L1" s="35"/>
      <c r="M1" s="35"/>
      <c r="N1" s="35"/>
      <c r="O1" s="406" t="str">
        <f>+VN!L1</f>
        <v>Empresa:</v>
      </c>
      <c r="P1" s="407" t="str">
        <f>+Pressupostos!E1</f>
        <v>JUPITER</v>
      </c>
    </row>
    <row r="2" spans="1:16" ht="12.75">
      <c r="A2" s="37"/>
      <c r="B2" s="37"/>
      <c r="C2" s="348"/>
      <c r="D2" s="34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 t="str">
        <f>+Pressupostos!B9</f>
        <v>Euros</v>
      </c>
    </row>
    <row r="3" spans="1:16" ht="12.75">
      <c r="A3" s="37"/>
      <c r="B3" s="37"/>
      <c r="C3" s="348"/>
      <c r="D3" s="34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/>
    </row>
    <row r="4" spans="1:16" ht="15.75">
      <c r="A4" s="562" t="s">
        <v>51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16" ht="10.5">
      <c r="A5" s="43"/>
      <c r="B5" s="43"/>
      <c r="C5" s="334"/>
      <c r="D5" s="33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0.5">
      <c r="A6" s="43"/>
      <c r="B6" s="43"/>
      <c r="C6" s="334"/>
      <c r="D6" s="334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0.5">
      <c r="A7" s="41"/>
      <c r="B7" s="72"/>
      <c r="C7" s="72"/>
      <c r="D7" s="72"/>
      <c r="E7" s="60"/>
      <c r="F7" s="40">
        <f>+VN!C8</f>
        <v>2021</v>
      </c>
      <c r="G7" s="40">
        <f>+VN!D8</f>
        <v>2022</v>
      </c>
      <c r="H7" s="40">
        <f>+VN!E8</f>
        <v>2023</v>
      </c>
      <c r="I7" s="40">
        <f>+VN!F8</f>
        <v>2024</v>
      </c>
      <c r="J7" s="40">
        <f>+VN!G8</f>
        <v>2025</v>
      </c>
      <c r="K7" s="40">
        <f>+VN!H8</f>
        <v>2026</v>
      </c>
      <c r="L7" s="40">
        <f>+VN!I8</f>
        <v>2027</v>
      </c>
      <c r="M7" s="40">
        <f>+VN!J8</f>
        <v>2028</v>
      </c>
      <c r="N7" s="40">
        <f>+VN!K8</f>
        <v>2029</v>
      </c>
      <c r="O7" s="40">
        <f>+VN!L8</f>
        <v>2030</v>
      </c>
      <c r="P7" s="40">
        <f>+VN!M8</f>
        <v>2031</v>
      </c>
    </row>
    <row r="8" spans="1:16" ht="10.5">
      <c r="A8" s="52" t="s">
        <v>380</v>
      </c>
      <c r="B8" s="72"/>
      <c r="C8" s="72"/>
      <c r="D8" s="72"/>
      <c r="E8" s="60"/>
      <c r="F8" s="447">
        <v>6</v>
      </c>
      <c r="G8" s="447">
        <v>12</v>
      </c>
      <c r="H8" s="447">
        <v>12</v>
      </c>
      <c r="I8" s="447">
        <v>12</v>
      </c>
      <c r="J8" s="447">
        <f aca="true" t="shared" si="0" ref="J8:P8">+I8</f>
        <v>12</v>
      </c>
      <c r="K8" s="447">
        <f t="shared" si="0"/>
        <v>12</v>
      </c>
      <c r="L8" s="447">
        <f t="shared" si="0"/>
        <v>12</v>
      </c>
      <c r="M8" s="447">
        <f t="shared" si="0"/>
        <v>12</v>
      </c>
      <c r="N8" s="447">
        <f t="shared" si="0"/>
        <v>12</v>
      </c>
      <c r="O8" s="447">
        <f t="shared" si="0"/>
        <v>12</v>
      </c>
      <c r="P8" s="447">
        <f t="shared" si="0"/>
        <v>12</v>
      </c>
    </row>
    <row r="9" spans="1:16" ht="10.5">
      <c r="A9" s="73" t="s">
        <v>381</v>
      </c>
      <c r="B9" s="74"/>
      <c r="C9" s="72"/>
      <c r="D9" s="72"/>
      <c r="E9" s="76"/>
      <c r="F9" s="449">
        <v>0</v>
      </c>
      <c r="G9" s="448"/>
      <c r="H9" s="448"/>
      <c r="I9" s="448"/>
      <c r="J9" s="448"/>
      <c r="K9" s="448"/>
      <c r="L9" s="448"/>
      <c r="M9" s="448"/>
      <c r="N9" s="448"/>
      <c r="O9" s="448"/>
      <c r="P9" s="448"/>
    </row>
    <row r="10" spans="1:16" ht="10.5">
      <c r="A10" s="43"/>
      <c r="B10" s="43"/>
      <c r="C10" s="334"/>
      <c r="D10" s="33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0.5">
      <c r="A11" s="43"/>
      <c r="B11" s="43"/>
      <c r="C11" s="334"/>
      <c r="D11" s="33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0.5">
      <c r="A12" s="41"/>
      <c r="B12" s="40" t="s">
        <v>97</v>
      </c>
      <c r="C12" s="40" t="s">
        <v>382</v>
      </c>
      <c r="D12" s="40" t="s">
        <v>383</v>
      </c>
      <c r="E12" s="40" t="s">
        <v>53</v>
      </c>
      <c r="F12" s="310">
        <f>+VN!C8</f>
        <v>2021</v>
      </c>
      <c r="G12" s="310">
        <f>+VN!D8</f>
        <v>2022</v>
      </c>
      <c r="H12" s="310">
        <f>+VN!E8</f>
        <v>2023</v>
      </c>
      <c r="I12" s="310">
        <f>+VN!F8</f>
        <v>2024</v>
      </c>
      <c r="J12" s="310">
        <f>+VN!G8</f>
        <v>2025</v>
      </c>
      <c r="K12" s="310">
        <f>+VN!H8</f>
        <v>2026</v>
      </c>
      <c r="L12" s="310">
        <f>+VN!I8</f>
        <v>2027</v>
      </c>
      <c r="M12" s="310">
        <f>+VN!J8</f>
        <v>2028</v>
      </c>
      <c r="N12" s="310">
        <f>+VN!K8</f>
        <v>2029</v>
      </c>
      <c r="O12" s="310">
        <f>+VN!L8</f>
        <v>2030</v>
      </c>
      <c r="P12" s="310">
        <f>+VN!M8</f>
        <v>2031</v>
      </c>
    </row>
    <row r="13" spans="1:16" ht="10.5">
      <c r="A13" s="410" t="s">
        <v>22</v>
      </c>
      <c r="B13" s="408">
        <f>Pressupostos!$B$21</f>
        <v>0.23</v>
      </c>
      <c r="C13" s="409">
        <f>100%-D13</f>
        <v>1</v>
      </c>
      <c r="D13" s="347"/>
      <c r="E13" s="342"/>
      <c r="F13" s="361">
        <f>E13*$F$8</f>
        <v>0</v>
      </c>
      <c r="G13" s="361">
        <f>+E13*$G$8*(1+$G$9)</f>
        <v>0</v>
      </c>
      <c r="H13" s="361">
        <f>+E13*(1+$G$9)*(1+$H$9)*H$8</f>
        <v>0</v>
      </c>
      <c r="I13" s="361">
        <f>+E13*(1+$G$9)*(1+$H$9)*(1+I$9)*I$8</f>
        <v>0</v>
      </c>
      <c r="J13" s="361">
        <f aca="true" t="shared" si="1" ref="J13:P15">+I13*(1+J$9)</f>
        <v>0</v>
      </c>
      <c r="K13" s="361">
        <f t="shared" si="1"/>
        <v>0</v>
      </c>
      <c r="L13" s="361">
        <f t="shared" si="1"/>
        <v>0</v>
      </c>
      <c r="M13" s="361">
        <f t="shared" si="1"/>
        <v>0</v>
      </c>
      <c r="N13" s="361">
        <f t="shared" si="1"/>
        <v>0</v>
      </c>
      <c r="O13" s="361">
        <f t="shared" si="1"/>
        <v>0</v>
      </c>
      <c r="P13" s="361">
        <f t="shared" si="1"/>
        <v>0</v>
      </c>
    </row>
    <row r="14" spans="1:16" ht="10.5">
      <c r="A14" s="411" t="s">
        <v>246</v>
      </c>
      <c r="B14" s="346"/>
      <c r="C14" s="350"/>
      <c r="D14" s="346"/>
      <c r="E14" s="343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16" ht="10.5">
      <c r="A15" s="274" t="s">
        <v>247</v>
      </c>
      <c r="B15" s="408">
        <f>Pressupostos!$B$21</f>
        <v>0.23</v>
      </c>
      <c r="C15" s="409">
        <f aca="true" t="shared" si="2" ref="C15:C42">100%-D15</f>
        <v>1</v>
      </c>
      <c r="D15" s="347"/>
      <c r="E15" s="342"/>
      <c r="F15" s="361">
        <f aca="true" t="shared" si="3" ref="F15:F20">E15*$F$8</f>
        <v>0</v>
      </c>
      <c r="G15" s="361">
        <f aca="true" t="shared" si="4" ref="G15:G20">+E15*$G$8*(1+$G$9)</f>
        <v>0</v>
      </c>
      <c r="H15" s="361">
        <f aca="true" t="shared" si="5" ref="H15:H20">+E15*(1+$G$9)*(1+$H$9)*H$8</f>
        <v>0</v>
      </c>
      <c r="I15" s="361">
        <f aca="true" t="shared" si="6" ref="I15:I20">+E15*(1+$G$9)*(1+$H$9)*(1+I$9)*I$8</f>
        <v>0</v>
      </c>
      <c r="J15" s="361">
        <f t="shared" si="1"/>
        <v>0</v>
      </c>
      <c r="K15" s="361">
        <f t="shared" si="1"/>
        <v>0</v>
      </c>
      <c r="L15" s="361">
        <f t="shared" si="1"/>
        <v>0</v>
      </c>
      <c r="M15" s="361">
        <f t="shared" si="1"/>
        <v>0</v>
      </c>
      <c r="N15" s="361">
        <f t="shared" si="1"/>
        <v>0</v>
      </c>
      <c r="O15" s="361">
        <f t="shared" si="1"/>
        <v>0</v>
      </c>
      <c r="P15" s="361">
        <f t="shared" si="1"/>
        <v>0</v>
      </c>
    </row>
    <row r="16" spans="1:16" ht="10.5">
      <c r="A16" s="274" t="s">
        <v>248</v>
      </c>
      <c r="B16" s="408">
        <f>Pressupostos!$B$21</f>
        <v>0.23</v>
      </c>
      <c r="C16" s="409">
        <f t="shared" si="2"/>
        <v>1</v>
      </c>
      <c r="D16" s="347"/>
      <c r="E16" s="342">
        <v>2500</v>
      </c>
      <c r="F16" s="361">
        <f t="shared" si="3"/>
        <v>15000</v>
      </c>
      <c r="G16" s="361">
        <f t="shared" si="4"/>
        <v>30000</v>
      </c>
      <c r="H16" s="361">
        <f t="shared" si="5"/>
        <v>30000</v>
      </c>
      <c r="I16" s="361">
        <f t="shared" si="6"/>
        <v>30000</v>
      </c>
      <c r="J16" s="361">
        <f aca="true" t="shared" si="7" ref="J16:P16">+I16*(1+J$9)</f>
        <v>30000</v>
      </c>
      <c r="K16" s="361">
        <f t="shared" si="7"/>
        <v>30000</v>
      </c>
      <c r="L16" s="361">
        <f t="shared" si="7"/>
        <v>30000</v>
      </c>
      <c r="M16" s="361">
        <f t="shared" si="7"/>
        <v>30000</v>
      </c>
      <c r="N16" s="361">
        <f t="shared" si="7"/>
        <v>30000</v>
      </c>
      <c r="O16" s="361">
        <f t="shared" si="7"/>
        <v>30000</v>
      </c>
      <c r="P16" s="361">
        <f t="shared" si="7"/>
        <v>30000</v>
      </c>
    </row>
    <row r="17" spans="1:16" ht="10.5">
      <c r="A17" s="274" t="s">
        <v>249</v>
      </c>
      <c r="B17" s="408">
        <f>Pressupostos!$B$21</f>
        <v>0.23</v>
      </c>
      <c r="C17" s="409">
        <f t="shared" si="2"/>
        <v>1</v>
      </c>
      <c r="D17" s="347"/>
      <c r="E17" s="342">
        <v>100</v>
      </c>
      <c r="F17" s="361">
        <f t="shared" si="3"/>
        <v>600</v>
      </c>
      <c r="G17" s="361">
        <f t="shared" si="4"/>
        <v>1200</v>
      </c>
      <c r="H17" s="361">
        <f t="shared" si="5"/>
        <v>1200</v>
      </c>
      <c r="I17" s="361">
        <f t="shared" si="6"/>
        <v>1200</v>
      </c>
      <c r="J17" s="361">
        <f aca="true" t="shared" si="8" ref="J17:P17">+I17*(1+J$9)</f>
        <v>1200</v>
      </c>
      <c r="K17" s="361">
        <f t="shared" si="8"/>
        <v>1200</v>
      </c>
      <c r="L17" s="361">
        <f t="shared" si="8"/>
        <v>1200</v>
      </c>
      <c r="M17" s="361">
        <f t="shared" si="8"/>
        <v>1200</v>
      </c>
      <c r="N17" s="361">
        <f t="shared" si="8"/>
        <v>1200</v>
      </c>
      <c r="O17" s="361">
        <f t="shared" si="8"/>
        <v>1200</v>
      </c>
      <c r="P17" s="361">
        <f t="shared" si="8"/>
        <v>1200</v>
      </c>
    </row>
    <row r="18" spans="1:16" ht="10.5">
      <c r="A18" s="274" t="s">
        <v>28</v>
      </c>
      <c r="B18" s="408">
        <f>Pressupostos!$B$21</f>
        <v>0.23</v>
      </c>
      <c r="C18" s="409">
        <f t="shared" si="2"/>
        <v>1</v>
      </c>
      <c r="D18" s="347"/>
      <c r="E18" s="342"/>
      <c r="F18" s="361">
        <f t="shared" si="3"/>
        <v>0</v>
      </c>
      <c r="G18" s="361">
        <f t="shared" si="4"/>
        <v>0</v>
      </c>
      <c r="H18" s="361">
        <f t="shared" si="5"/>
        <v>0</v>
      </c>
      <c r="I18" s="361">
        <f t="shared" si="6"/>
        <v>0</v>
      </c>
      <c r="J18" s="361">
        <f aca="true" t="shared" si="9" ref="J18:P18">+I18*(1+J$9)</f>
        <v>0</v>
      </c>
      <c r="K18" s="361">
        <f t="shared" si="9"/>
        <v>0</v>
      </c>
      <c r="L18" s="361">
        <f t="shared" si="9"/>
        <v>0</v>
      </c>
      <c r="M18" s="361">
        <f t="shared" si="9"/>
        <v>0</v>
      </c>
      <c r="N18" s="361">
        <f t="shared" si="9"/>
        <v>0</v>
      </c>
      <c r="O18" s="361">
        <f t="shared" si="9"/>
        <v>0</v>
      </c>
      <c r="P18" s="361">
        <f t="shared" si="9"/>
        <v>0</v>
      </c>
    </row>
    <row r="19" spans="1:16" ht="10.5">
      <c r="A19" s="274" t="s">
        <v>24</v>
      </c>
      <c r="B19" s="408">
        <f>Pressupostos!$B$21</f>
        <v>0.23</v>
      </c>
      <c r="C19" s="409">
        <f t="shared" si="2"/>
        <v>1</v>
      </c>
      <c r="D19" s="347"/>
      <c r="E19" s="342"/>
      <c r="F19" s="361">
        <f t="shared" si="3"/>
        <v>0</v>
      </c>
      <c r="G19" s="361">
        <f t="shared" si="4"/>
        <v>0</v>
      </c>
      <c r="H19" s="361">
        <f t="shared" si="5"/>
        <v>0</v>
      </c>
      <c r="I19" s="361">
        <f t="shared" si="6"/>
        <v>0</v>
      </c>
      <c r="J19" s="361">
        <f aca="true" t="shared" si="10" ref="J19:P19">+I19*(1+J$9)</f>
        <v>0</v>
      </c>
      <c r="K19" s="361">
        <f t="shared" si="10"/>
        <v>0</v>
      </c>
      <c r="L19" s="361">
        <f t="shared" si="10"/>
        <v>0</v>
      </c>
      <c r="M19" s="361">
        <f t="shared" si="10"/>
        <v>0</v>
      </c>
      <c r="N19" s="361">
        <f t="shared" si="10"/>
        <v>0</v>
      </c>
      <c r="O19" s="361">
        <f t="shared" si="10"/>
        <v>0</v>
      </c>
      <c r="P19" s="361">
        <f t="shared" si="10"/>
        <v>0</v>
      </c>
    </row>
    <row r="20" spans="1:16" ht="10.5">
      <c r="A20" s="274" t="s">
        <v>250</v>
      </c>
      <c r="B20" s="408">
        <f>Pressupostos!$B$21</f>
        <v>0.23</v>
      </c>
      <c r="C20" s="409">
        <f t="shared" si="2"/>
        <v>1</v>
      </c>
      <c r="D20" s="347"/>
      <c r="E20" s="342"/>
      <c r="F20" s="361">
        <f t="shared" si="3"/>
        <v>0</v>
      </c>
      <c r="G20" s="361">
        <f t="shared" si="4"/>
        <v>0</v>
      </c>
      <c r="H20" s="361">
        <f t="shared" si="5"/>
        <v>0</v>
      </c>
      <c r="I20" s="361">
        <f t="shared" si="6"/>
        <v>0</v>
      </c>
      <c r="J20" s="361">
        <f aca="true" t="shared" si="11" ref="J20:P20">+I20*(1+J$9)</f>
        <v>0</v>
      </c>
      <c r="K20" s="361">
        <f t="shared" si="11"/>
        <v>0</v>
      </c>
      <c r="L20" s="361">
        <f t="shared" si="11"/>
        <v>0</v>
      </c>
      <c r="M20" s="361">
        <f t="shared" si="11"/>
        <v>0</v>
      </c>
      <c r="N20" s="361">
        <f t="shared" si="11"/>
        <v>0</v>
      </c>
      <c r="O20" s="361">
        <f t="shared" si="11"/>
        <v>0</v>
      </c>
      <c r="P20" s="361">
        <f t="shared" si="11"/>
        <v>0</v>
      </c>
    </row>
    <row r="21" spans="1:16" ht="10.5">
      <c r="A21" s="411" t="s">
        <v>184</v>
      </c>
      <c r="B21" s="346"/>
      <c r="C21" s="350"/>
      <c r="D21" s="346"/>
      <c r="E21" s="343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</row>
    <row r="22" spans="1:16" ht="10.5">
      <c r="A22" s="274" t="s">
        <v>251</v>
      </c>
      <c r="B22" s="408">
        <f>Pressupostos!$B$21</f>
        <v>0.23</v>
      </c>
      <c r="C22" s="409">
        <f t="shared" si="2"/>
        <v>1</v>
      </c>
      <c r="D22" s="347"/>
      <c r="E22" s="342"/>
      <c r="F22" s="361">
        <f>E22*$F$8</f>
        <v>0</v>
      </c>
      <c r="G22" s="361">
        <f>+E22*$G$8*(1+$G$9)</f>
        <v>0</v>
      </c>
      <c r="H22" s="361">
        <f>+E22*(1+$G$9)*(1+$H$9)*H$8</f>
        <v>0</v>
      </c>
      <c r="I22" s="361">
        <f>+E22*(1+$G$9)*(1+$H$9)*(1+I$9)*I$8</f>
        <v>0</v>
      </c>
      <c r="J22" s="361">
        <f aca="true" t="shared" si="12" ref="J22:P22">+I22*(1+J$9)</f>
        <v>0</v>
      </c>
      <c r="K22" s="361">
        <f t="shared" si="12"/>
        <v>0</v>
      </c>
      <c r="L22" s="361">
        <f t="shared" si="12"/>
        <v>0</v>
      </c>
      <c r="M22" s="361">
        <f t="shared" si="12"/>
        <v>0</v>
      </c>
      <c r="N22" s="361">
        <f t="shared" si="12"/>
        <v>0</v>
      </c>
      <c r="O22" s="361">
        <f t="shared" si="12"/>
        <v>0</v>
      </c>
      <c r="P22" s="361">
        <f t="shared" si="12"/>
        <v>0</v>
      </c>
    </row>
    <row r="23" spans="1:16" ht="10.5">
      <c r="A23" s="274" t="s">
        <v>252</v>
      </c>
      <c r="B23" s="408">
        <f>Pressupostos!$B$21</f>
        <v>0.23</v>
      </c>
      <c r="C23" s="409">
        <f t="shared" si="2"/>
        <v>1</v>
      </c>
      <c r="D23" s="347"/>
      <c r="E23" s="342"/>
      <c r="F23" s="361">
        <f>E23*$F$8</f>
        <v>0</v>
      </c>
      <c r="G23" s="361">
        <f>+E23*$G$8*(1+$G$9)</f>
        <v>0</v>
      </c>
      <c r="H23" s="361">
        <f>+E23*(1+$G$9)*(1+$H$9)*H$8</f>
        <v>0</v>
      </c>
      <c r="I23" s="361">
        <f>+E23*(1+$G$9)*(1+$H$9)*(1+I$9)*I$8</f>
        <v>0</v>
      </c>
      <c r="J23" s="361">
        <f aca="true" t="shared" si="13" ref="J23:P23">+I23*(1+J$9)</f>
        <v>0</v>
      </c>
      <c r="K23" s="361">
        <f t="shared" si="13"/>
        <v>0</v>
      </c>
      <c r="L23" s="361">
        <f t="shared" si="13"/>
        <v>0</v>
      </c>
      <c r="M23" s="361">
        <f t="shared" si="13"/>
        <v>0</v>
      </c>
      <c r="N23" s="361">
        <f t="shared" si="13"/>
        <v>0</v>
      </c>
      <c r="O23" s="361">
        <f t="shared" si="13"/>
        <v>0</v>
      </c>
      <c r="P23" s="361">
        <f t="shared" si="13"/>
        <v>0</v>
      </c>
    </row>
    <row r="24" spans="1:16" ht="10.5">
      <c r="A24" s="274" t="s">
        <v>253</v>
      </c>
      <c r="B24" s="408">
        <f>Pressupostos!$B$21</f>
        <v>0.23</v>
      </c>
      <c r="C24" s="409">
        <f t="shared" si="2"/>
        <v>1</v>
      </c>
      <c r="D24" s="347"/>
      <c r="E24" s="342"/>
      <c r="F24" s="361">
        <f>E24*$F$8</f>
        <v>0</v>
      </c>
      <c r="G24" s="361">
        <f>+E24*$G$8*(1+$G$9)</f>
        <v>0</v>
      </c>
      <c r="H24" s="361">
        <f>+E24*(1+$G$9)*(1+$H$9)*H$8</f>
        <v>0</v>
      </c>
      <c r="I24" s="361">
        <f>+E24*(1+$G$9)*(1+$H$9)*(1+I$9)*I$8</f>
        <v>0</v>
      </c>
      <c r="J24" s="361">
        <f aca="true" t="shared" si="14" ref="J24:P24">+I24*(1+J$9)</f>
        <v>0</v>
      </c>
      <c r="K24" s="361">
        <f t="shared" si="14"/>
        <v>0</v>
      </c>
      <c r="L24" s="361">
        <f t="shared" si="14"/>
        <v>0</v>
      </c>
      <c r="M24" s="361">
        <f t="shared" si="14"/>
        <v>0</v>
      </c>
      <c r="N24" s="361">
        <f t="shared" si="14"/>
        <v>0</v>
      </c>
      <c r="O24" s="361">
        <f t="shared" si="14"/>
        <v>0</v>
      </c>
      <c r="P24" s="361">
        <f t="shared" si="14"/>
        <v>0</v>
      </c>
    </row>
    <row r="25" spans="1:16" ht="10.5">
      <c r="A25" s="274" t="s">
        <v>254</v>
      </c>
      <c r="B25" s="408">
        <f>Pressupostos!$B$21</f>
        <v>0.23</v>
      </c>
      <c r="C25" s="409">
        <f t="shared" si="2"/>
        <v>1</v>
      </c>
      <c r="D25" s="347"/>
      <c r="E25" s="342"/>
      <c r="F25" s="361">
        <f>E25*$F$8</f>
        <v>0</v>
      </c>
      <c r="G25" s="361">
        <f>+E25*$G$8*(1+$G$9)</f>
        <v>0</v>
      </c>
      <c r="H25" s="361">
        <f>+E25*(1+$G$9)*(1+$H$9)*H$8</f>
        <v>0</v>
      </c>
      <c r="I25" s="361">
        <f>+E25*(1+$G$9)*(1+$H$9)*(1+I$9)*I$8</f>
        <v>0</v>
      </c>
      <c r="J25" s="361">
        <f aca="true" t="shared" si="15" ref="J25:P25">+I25*(1+J$9)</f>
        <v>0</v>
      </c>
      <c r="K25" s="361">
        <f t="shared" si="15"/>
        <v>0</v>
      </c>
      <c r="L25" s="361">
        <f t="shared" si="15"/>
        <v>0</v>
      </c>
      <c r="M25" s="361">
        <f t="shared" si="15"/>
        <v>0</v>
      </c>
      <c r="N25" s="361">
        <f t="shared" si="15"/>
        <v>0</v>
      </c>
      <c r="O25" s="361">
        <f t="shared" si="15"/>
        <v>0</v>
      </c>
      <c r="P25" s="361">
        <f t="shared" si="15"/>
        <v>0</v>
      </c>
    </row>
    <row r="26" spans="1:16" ht="10.5">
      <c r="A26" s="411" t="s">
        <v>255</v>
      </c>
      <c r="B26" s="346"/>
      <c r="C26" s="350"/>
      <c r="D26" s="346"/>
      <c r="E26" s="343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ht="10.5">
      <c r="A27" s="274" t="s">
        <v>256</v>
      </c>
      <c r="B27" s="408">
        <f>Pressupostos!$B$21</f>
        <v>0.23</v>
      </c>
      <c r="C27" s="409">
        <f t="shared" si="2"/>
        <v>1</v>
      </c>
      <c r="D27" s="347"/>
      <c r="E27" s="342">
        <v>500</v>
      </c>
      <c r="F27" s="361">
        <f>E27*$F$8</f>
        <v>3000</v>
      </c>
      <c r="G27" s="361">
        <f>+E27*$G$8*(1+$G$9)</f>
        <v>6000</v>
      </c>
      <c r="H27" s="361">
        <f>+E27*(1+$G$9)*(1+$H$9)*H$8</f>
        <v>6000</v>
      </c>
      <c r="I27" s="361">
        <f>+E27*(1+$G$9)*(1+$H$9)*(1+I$9)*I$8</f>
        <v>6000</v>
      </c>
      <c r="J27" s="361">
        <f aca="true" t="shared" si="16" ref="J27:P27">+I27*(1+J$9)</f>
        <v>6000</v>
      </c>
      <c r="K27" s="361">
        <f t="shared" si="16"/>
        <v>6000</v>
      </c>
      <c r="L27" s="361">
        <f t="shared" si="16"/>
        <v>6000</v>
      </c>
      <c r="M27" s="361">
        <f t="shared" si="16"/>
        <v>6000</v>
      </c>
      <c r="N27" s="361">
        <f t="shared" si="16"/>
        <v>6000</v>
      </c>
      <c r="O27" s="361">
        <f t="shared" si="16"/>
        <v>6000</v>
      </c>
      <c r="P27" s="361">
        <f t="shared" si="16"/>
        <v>6000</v>
      </c>
    </row>
    <row r="28" spans="1:16" ht="10.5">
      <c r="A28" s="274" t="s">
        <v>185</v>
      </c>
      <c r="B28" s="408">
        <f>Pressupostos!$B$21</f>
        <v>0.23</v>
      </c>
      <c r="C28" s="409">
        <f t="shared" si="2"/>
        <v>1</v>
      </c>
      <c r="D28" s="347"/>
      <c r="E28" s="342">
        <v>500</v>
      </c>
      <c r="F28" s="361">
        <f>E28*$F$8</f>
        <v>3000</v>
      </c>
      <c r="G28" s="361">
        <f>+E28*$G$8*(1+$G$9)</f>
        <v>6000</v>
      </c>
      <c r="H28" s="361">
        <f>+E28*(1+$G$9)*(1+$H$9)*H$8</f>
        <v>6000</v>
      </c>
      <c r="I28" s="361">
        <f>+E28*(1+$G$9)*(1+$H$9)*(1+I$9)*I$8</f>
        <v>6000</v>
      </c>
      <c r="J28" s="361">
        <f aca="true" t="shared" si="17" ref="J28:P28">+I28*(1+J$9)</f>
        <v>6000</v>
      </c>
      <c r="K28" s="361">
        <f t="shared" si="17"/>
        <v>6000</v>
      </c>
      <c r="L28" s="361">
        <f t="shared" si="17"/>
        <v>6000</v>
      </c>
      <c r="M28" s="361">
        <f t="shared" si="17"/>
        <v>6000</v>
      </c>
      <c r="N28" s="361">
        <f t="shared" si="17"/>
        <v>6000</v>
      </c>
      <c r="O28" s="361">
        <f t="shared" si="17"/>
        <v>6000</v>
      </c>
      <c r="P28" s="361">
        <f t="shared" si="17"/>
        <v>6000</v>
      </c>
    </row>
    <row r="29" spans="1:16" ht="10.5">
      <c r="A29" s="274" t="s">
        <v>186</v>
      </c>
      <c r="B29" s="408">
        <v>0.06</v>
      </c>
      <c r="C29" s="409">
        <f t="shared" si="2"/>
        <v>1</v>
      </c>
      <c r="D29" s="347"/>
      <c r="E29" s="342">
        <v>1500</v>
      </c>
      <c r="F29" s="361">
        <f>E29*$F$8</f>
        <v>9000</v>
      </c>
      <c r="G29" s="361">
        <f>+E29*$G$8*(1+$G$9)</f>
        <v>18000</v>
      </c>
      <c r="H29" s="361">
        <f>+E29*(1+$G$9)*(1+$H$9)*H$8</f>
        <v>18000</v>
      </c>
      <c r="I29" s="361">
        <f>+E29*(1+$G$9)*(1+$H$9)*(1+I$9)*I$8</f>
        <v>18000</v>
      </c>
      <c r="J29" s="361">
        <f aca="true" t="shared" si="18" ref="J29:P29">+I29*(1+J$9)</f>
        <v>18000</v>
      </c>
      <c r="K29" s="361">
        <f t="shared" si="18"/>
        <v>18000</v>
      </c>
      <c r="L29" s="361">
        <f t="shared" si="18"/>
        <v>18000</v>
      </c>
      <c r="M29" s="361">
        <f t="shared" si="18"/>
        <v>18000</v>
      </c>
      <c r="N29" s="361">
        <f t="shared" si="18"/>
        <v>18000</v>
      </c>
      <c r="O29" s="361">
        <f t="shared" si="18"/>
        <v>18000</v>
      </c>
      <c r="P29" s="361">
        <f t="shared" si="18"/>
        <v>18000</v>
      </c>
    </row>
    <row r="30" spans="1:16" ht="10.5">
      <c r="A30" s="411" t="s">
        <v>257</v>
      </c>
      <c r="B30" s="346"/>
      <c r="C30" s="350"/>
      <c r="D30" s="346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6" ht="10.5">
      <c r="A31" s="274" t="s">
        <v>187</v>
      </c>
      <c r="B31" s="408">
        <f>Pressupostos!$B$21</f>
        <v>0.23</v>
      </c>
      <c r="C31" s="409">
        <f t="shared" si="2"/>
        <v>1</v>
      </c>
      <c r="D31" s="347"/>
      <c r="E31" s="342">
        <v>500</v>
      </c>
      <c r="F31" s="361">
        <f>E31*$F$8</f>
        <v>3000</v>
      </c>
      <c r="G31" s="361">
        <f>+E31*$G$8*(1+$G$9)</f>
        <v>6000</v>
      </c>
      <c r="H31" s="361">
        <f>+E31*(1+$G$9)*(1+$H$9)*H$8</f>
        <v>6000</v>
      </c>
      <c r="I31" s="361">
        <f>+E31*(1+$G$9)*(1+$H$9)*(1+I$9)*I$8</f>
        <v>6000</v>
      </c>
      <c r="J31" s="361">
        <f aca="true" t="shared" si="19" ref="J31:P31">+I31*(1+J$9)</f>
        <v>6000</v>
      </c>
      <c r="K31" s="361">
        <f t="shared" si="19"/>
        <v>6000</v>
      </c>
      <c r="L31" s="361">
        <f t="shared" si="19"/>
        <v>6000</v>
      </c>
      <c r="M31" s="361">
        <f t="shared" si="19"/>
        <v>6000</v>
      </c>
      <c r="N31" s="361">
        <f t="shared" si="19"/>
        <v>6000</v>
      </c>
      <c r="O31" s="361">
        <f t="shared" si="19"/>
        <v>6000</v>
      </c>
      <c r="P31" s="361">
        <f t="shared" si="19"/>
        <v>6000</v>
      </c>
    </row>
    <row r="32" spans="1:16" ht="10.5">
      <c r="A32" s="274" t="s">
        <v>258</v>
      </c>
      <c r="B32" s="408">
        <f>Pressupostos!$B$21</f>
        <v>0.23</v>
      </c>
      <c r="C32" s="409">
        <f t="shared" si="2"/>
        <v>1</v>
      </c>
      <c r="D32" s="347"/>
      <c r="E32" s="342">
        <v>2500</v>
      </c>
      <c r="F32" s="361">
        <f>E32*$F$8</f>
        <v>15000</v>
      </c>
      <c r="G32" s="361">
        <f>+E32*$G$8*(1+$G$9)</f>
        <v>30000</v>
      </c>
      <c r="H32" s="361">
        <f>+E32*(1+$G$9)*(1+$H$9)*H$8</f>
        <v>30000</v>
      </c>
      <c r="I32" s="361">
        <f>+E32*(1+$G$9)*(1+$H$9)*(1+I$9)*I$8</f>
        <v>30000</v>
      </c>
      <c r="J32" s="361">
        <f aca="true" t="shared" si="20" ref="J32:P32">+I32*(1+J$9)</f>
        <v>30000</v>
      </c>
      <c r="K32" s="361">
        <f t="shared" si="20"/>
        <v>30000</v>
      </c>
      <c r="L32" s="361">
        <f t="shared" si="20"/>
        <v>30000</v>
      </c>
      <c r="M32" s="361">
        <f t="shared" si="20"/>
        <v>30000</v>
      </c>
      <c r="N32" s="361">
        <f t="shared" si="20"/>
        <v>30000</v>
      </c>
      <c r="O32" s="361">
        <f t="shared" si="20"/>
        <v>30000</v>
      </c>
      <c r="P32" s="361">
        <f t="shared" si="20"/>
        <v>30000</v>
      </c>
    </row>
    <row r="33" spans="1:16" ht="10.5">
      <c r="A33" s="274" t="s">
        <v>259</v>
      </c>
      <c r="B33" s="408">
        <f>Pressupostos!$B$21</f>
        <v>0.23</v>
      </c>
      <c r="C33" s="409">
        <f t="shared" si="2"/>
        <v>1</v>
      </c>
      <c r="D33" s="347"/>
      <c r="E33" s="342"/>
      <c r="F33" s="361">
        <f>E33*$F$8</f>
        <v>0</v>
      </c>
      <c r="G33" s="361">
        <f>+E33*$G$8*(1+$G$9)</f>
        <v>0</v>
      </c>
      <c r="H33" s="361">
        <f>+E33*(1+$G$9)*(1+$H$9)*H$8</f>
        <v>0</v>
      </c>
      <c r="I33" s="361">
        <f>+E33*(1+$G$9)*(1+$H$9)*(1+I$9)*I$8</f>
        <v>0</v>
      </c>
      <c r="J33" s="361">
        <f aca="true" t="shared" si="21" ref="J33:P33">+I33*(1+J$9)</f>
        <v>0</v>
      </c>
      <c r="K33" s="361">
        <f t="shared" si="21"/>
        <v>0</v>
      </c>
      <c r="L33" s="361">
        <f t="shared" si="21"/>
        <v>0</v>
      </c>
      <c r="M33" s="361">
        <f t="shared" si="21"/>
        <v>0</v>
      </c>
      <c r="N33" s="361">
        <f t="shared" si="21"/>
        <v>0</v>
      </c>
      <c r="O33" s="361">
        <f t="shared" si="21"/>
        <v>0</v>
      </c>
      <c r="P33" s="361">
        <f t="shared" si="21"/>
        <v>0</v>
      </c>
    </row>
    <row r="34" spans="1:16" ht="10.5">
      <c r="A34" s="412" t="s">
        <v>260</v>
      </c>
      <c r="B34" s="346"/>
      <c r="C34" s="350"/>
      <c r="D34" s="346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1:16" ht="10.5">
      <c r="A35" s="274" t="s">
        <v>261</v>
      </c>
      <c r="B35" s="408">
        <f>Pressupostos!$B$21</f>
        <v>0.23</v>
      </c>
      <c r="C35" s="409">
        <f t="shared" si="2"/>
        <v>1</v>
      </c>
      <c r="D35" s="347"/>
      <c r="E35" s="342"/>
      <c r="F35" s="361">
        <f aca="true" t="shared" si="22" ref="F35:F42">E35*$F$8</f>
        <v>0</v>
      </c>
      <c r="G35" s="361">
        <f aca="true" t="shared" si="23" ref="G35:G42">+E35*$G$8*(1+$G$9)</f>
        <v>0</v>
      </c>
      <c r="H35" s="361">
        <f aca="true" t="shared" si="24" ref="H35:H42">+E35*(1+$G$9)*(1+$H$9)*H$8</f>
        <v>0</v>
      </c>
      <c r="I35" s="361">
        <f aca="true" t="shared" si="25" ref="I35:I42">+E35*(1+$G$9)*(1+$H$9)*(1+I$9)*I$8</f>
        <v>0</v>
      </c>
      <c r="J35" s="361">
        <f aca="true" t="shared" si="26" ref="J35:P35">+I35*(1+J$9)</f>
        <v>0</v>
      </c>
      <c r="K35" s="361">
        <f t="shared" si="26"/>
        <v>0</v>
      </c>
      <c r="L35" s="361">
        <f t="shared" si="26"/>
        <v>0</v>
      </c>
      <c r="M35" s="361">
        <f t="shared" si="26"/>
        <v>0</v>
      </c>
      <c r="N35" s="361">
        <f t="shared" si="26"/>
        <v>0</v>
      </c>
      <c r="O35" s="361">
        <f t="shared" si="26"/>
        <v>0</v>
      </c>
      <c r="P35" s="361">
        <f t="shared" si="26"/>
        <v>0</v>
      </c>
    </row>
    <row r="36" spans="1:16" ht="10.5">
      <c r="A36" s="274" t="s">
        <v>26</v>
      </c>
      <c r="B36" s="408">
        <f>Pressupostos!$B$21</f>
        <v>0.23</v>
      </c>
      <c r="C36" s="409">
        <f t="shared" si="2"/>
        <v>1</v>
      </c>
      <c r="D36" s="347"/>
      <c r="E36" s="342">
        <v>50</v>
      </c>
      <c r="F36" s="361">
        <f t="shared" si="22"/>
        <v>300</v>
      </c>
      <c r="G36" s="361">
        <f t="shared" si="23"/>
        <v>600</v>
      </c>
      <c r="H36" s="361">
        <f t="shared" si="24"/>
        <v>600</v>
      </c>
      <c r="I36" s="361">
        <f t="shared" si="25"/>
        <v>600</v>
      </c>
      <c r="J36" s="361">
        <f aca="true" t="shared" si="27" ref="J36:P36">+I36*(1+J$9)</f>
        <v>600</v>
      </c>
      <c r="K36" s="361">
        <f t="shared" si="27"/>
        <v>600</v>
      </c>
      <c r="L36" s="361">
        <f t="shared" si="27"/>
        <v>600</v>
      </c>
      <c r="M36" s="361">
        <f t="shared" si="27"/>
        <v>600</v>
      </c>
      <c r="N36" s="361">
        <f t="shared" si="27"/>
        <v>600</v>
      </c>
      <c r="O36" s="361">
        <f t="shared" si="27"/>
        <v>600</v>
      </c>
      <c r="P36" s="361">
        <f t="shared" si="27"/>
        <v>600</v>
      </c>
    </row>
    <row r="37" spans="1:16" ht="10.5">
      <c r="A37" s="274" t="s">
        <v>27</v>
      </c>
      <c r="B37" s="347">
        <v>0</v>
      </c>
      <c r="C37" s="409">
        <f t="shared" si="2"/>
        <v>1</v>
      </c>
      <c r="D37" s="347"/>
      <c r="E37" s="342">
        <v>350</v>
      </c>
      <c r="F37" s="361">
        <f t="shared" si="22"/>
        <v>2100</v>
      </c>
      <c r="G37" s="361">
        <f t="shared" si="23"/>
        <v>4200</v>
      </c>
      <c r="H37" s="361">
        <f t="shared" si="24"/>
        <v>4200</v>
      </c>
      <c r="I37" s="361">
        <f t="shared" si="25"/>
        <v>4200</v>
      </c>
      <c r="J37" s="361">
        <f aca="true" t="shared" si="28" ref="J37:P37">+I37*(1+J$9)</f>
        <v>4200</v>
      </c>
      <c r="K37" s="361">
        <f t="shared" si="28"/>
        <v>4200</v>
      </c>
      <c r="L37" s="361">
        <f t="shared" si="28"/>
        <v>4200</v>
      </c>
      <c r="M37" s="361">
        <f t="shared" si="28"/>
        <v>4200</v>
      </c>
      <c r="N37" s="361">
        <f t="shared" si="28"/>
        <v>4200</v>
      </c>
      <c r="O37" s="361">
        <f t="shared" si="28"/>
        <v>4200</v>
      </c>
      <c r="P37" s="361">
        <f t="shared" si="28"/>
        <v>4200</v>
      </c>
    </row>
    <row r="38" spans="1:16" ht="10.5">
      <c r="A38" s="274" t="s">
        <v>23</v>
      </c>
      <c r="B38" s="408">
        <f>Pressupostos!$B$21</f>
        <v>0.23</v>
      </c>
      <c r="C38" s="409">
        <f t="shared" si="2"/>
        <v>1</v>
      </c>
      <c r="D38" s="347"/>
      <c r="E38" s="342"/>
      <c r="F38" s="361">
        <f t="shared" si="22"/>
        <v>0</v>
      </c>
      <c r="G38" s="361">
        <f t="shared" si="23"/>
        <v>0</v>
      </c>
      <c r="H38" s="361">
        <f t="shared" si="24"/>
        <v>0</v>
      </c>
      <c r="I38" s="361">
        <f t="shared" si="25"/>
        <v>0</v>
      </c>
      <c r="J38" s="361">
        <f aca="true" t="shared" si="29" ref="J38:P38">+I38*(1+J$9)</f>
        <v>0</v>
      </c>
      <c r="K38" s="361">
        <f t="shared" si="29"/>
        <v>0</v>
      </c>
      <c r="L38" s="361">
        <f t="shared" si="29"/>
        <v>0</v>
      </c>
      <c r="M38" s="361">
        <f t="shared" si="29"/>
        <v>0</v>
      </c>
      <c r="N38" s="361">
        <f t="shared" si="29"/>
        <v>0</v>
      </c>
      <c r="O38" s="361">
        <f t="shared" si="29"/>
        <v>0</v>
      </c>
      <c r="P38" s="361">
        <f t="shared" si="29"/>
        <v>0</v>
      </c>
    </row>
    <row r="39" spans="1:16" ht="10.5">
      <c r="A39" s="274" t="s">
        <v>262</v>
      </c>
      <c r="B39" s="408">
        <f>Pressupostos!$B$21</f>
        <v>0.23</v>
      </c>
      <c r="C39" s="409">
        <f t="shared" si="2"/>
        <v>1</v>
      </c>
      <c r="D39" s="347"/>
      <c r="E39" s="342">
        <v>200</v>
      </c>
      <c r="F39" s="361">
        <f t="shared" si="22"/>
        <v>1200</v>
      </c>
      <c r="G39" s="361">
        <f t="shared" si="23"/>
        <v>2400</v>
      </c>
      <c r="H39" s="361">
        <f t="shared" si="24"/>
        <v>2400</v>
      </c>
      <c r="I39" s="361">
        <f t="shared" si="25"/>
        <v>2400</v>
      </c>
      <c r="J39" s="361">
        <f aca="true" t="shared" si="30" ref="J39:P39">+I39*(1+J$9)</f>
        <v>2400</v>
      </c>
      <c r="K39" s="361">
        <f t="shared" si="30"/>
        <v>2400</v>
      </c>
      <c r="L39" s="361">
        <f t="shared" si="30"/>
        <v>2400</v>
      </c>
      <c r="M39" s="361">
        <f t="shared" si="30"/>
        <v>2400</v>
      </c>
      <c r="N39" s="361">
        <f t="shared" si="30"/>
        <v>2400</v>
      </c>
      <c r="O39" s="361">
        <f t="shared" si="30"/>
        <v>2400</v>
      </c>
      <c r="P39" s="361">
        <f t="shared" si="30"/>
        <v>2400</v>
      </c>
    </row>
    <row r="40" spans="1:16" ht="10.5">
      <c r="A40" s="274" t="s">
        <v>263</v>
      </c>
      <c r="B40" s="408">
        <f>Pressupostos!$B$21</f>
        <v>0.23</v>
      </c>
      <c r="C40" s="409">
        <f t="shared" si="2"/>
        <v>1</v>
      </c>
      <c r="D40" s="347"/>
      <c r="E40" s="342">
        <v>500</v>
      </c>
      <c r="F40" s="361">
        <f t="shared" si="22"/>
        <v>3000</v>
      </c>
      <c r="G40" s="361">
        <f t="shared" si="23"/>
        <v>6000</v>
      </c>
      <c r="H40" s="361">
        <f t="shared" si="24"/>
        <v>6000</v>
      </c>
      <c r="I40" s="361">
        <f t="shared" si="25"/>
        <v>6000</v>
      </c>
      <c r="J40" s="361">
        <f aca="true" t="shared" si="31" ref="J40:P40">+I40*(1+J$9)</f>
        <v>6000</v>
      </c>
      <c r="K40" s="361">
        <f t="shared" si="31"/>
        <v>6000</v>
      </c>
      <c r="L40" s="361">
        <f t="shared" si="31"/>
        <v>6000</v>
      </c>
      <c r="M40" s="361">
        <f t="shared" si="31"/>
        <v>6000</v>
      </c>
      <c r="N40" s="361">
        <f t="shared" si="31"/>
        <v>6000</v>
      </c>
      <c r="O40" s="361">
        <f t="shared" si="31"/>
        <v>6000</v>
      </c>
      <c r="P40" s="361">
        <f t="shared" si="31"/>
        <v>6000</v>
      </c>
    </row>
    <row r="41" spans="1:16" ht="10.5">
      <c r="A41" s="274" t="s">
        <v>264</v>
      </c>
      <c r="B41" s="408">
        <f>Pressupostos!$B$21</f>
        <v>0.23</v>
      </c>
      <c r="C41" s="409">
        <f t="shared" si="2"/>
        <v>1</v>
      </c>
      <c r="D41" s="347"/>
      <c r="E41" s="342">
        <v>50</v>
      </c>
      <c r="F41" s="361">
        <f t="shared" si="22"/>
        <v>300</v>
      </c>
      <c r="G41" s="361">
        <f t="shared" si="23"/>
        <v>600</v>
      </c>
      <c r="H41" s="361">
        <f t="shared" si="24"/>
        <v>600</v>
      </c>
      <c r="I41" s="361">
        <f t="shared" si="25"/>
        <v>600</v>
      </c>
      <c r="J41" s="361">
        <f aca="true" t="shared" si="32" ref="J41:P41">+I41*(1+J$9)</f>
        <v>600</v>
      </c>
      <c r="K41" s="361">
        <f t="shared" si="32"/>
        <v>600</v>
      </c>
      <c r="L41" s="361">
        <f t="shared" si="32"/>
        <v>600</v>
      </c>
      <c r="M41" s="361">
        <f t="shared" si="32"/>
        <v>600</v>
      </c>
      <c r="N41" s="361">
        <f t="shared" si="32"/>
        <v>600</v>
      </c>
      <c r="O41" s="361">
        <f t="shared" si="32"/>
        <v>600</v>
      </c>
      <c r="P41" s="361">
        <f t="shared" si="32"/>
        <v>600</v>
      </c>
    </row>
    <row r="42" spans="1:16" ht="10.5">
      <c r="A42" s="411" t="s">
        <v>265</v>
      </c>
      <c r="B42" s="408">
        <f>Pressupostos!$B$21</f>
        <v>0.23</v>
      </c>
      <c r="C42" s="409">
        <f t="shared" si="2"/>
        <v>1</v>
      </c>
      <c r="D42" s="347"/>
      <c r="E42" s="342"/>
      <c r="F42" s="361">
        <f t="shared" si="22"/>
        <v>0</v>
      </c>
      <c r="G42" s="361">
        <f t="shared" si="23"/>
        <v>0</v>
      </c>
      <c r="H42" s="361">
        <f t="shared" si="24"/>
        <v>0</v>
      </c>
      <c r="I42" s="361">
        <f t="shared" si="25"/>
        <v>0</v>
      </c>
      <c r="J42" s="361">
        <f aca="true" t="shared" si="33" ref="J42:P42">+I42*(1+J$9)</f>
        <v>0</v>
      </c>
      <c r="K42" s="361">
        <f t="shared" si="33"/>
        <v>0</v>
      </c>
      <c r="L42" s="361">
        <f t="shared" si="33"/>
        <v>0</v>
      </c>
      <c r="M42" s="361">
        <f t="shared" si="33"/>
        <v>0</v>
      </c>
      <c r="N42" s="361">
        <f t="shared" si="33"/>
        <v>0</v>
      </c>
      <c r="O42" s="361">
        <f t="shared" si="33"/>
        <v>0</v>
      </c>
      <c r="P42" s="361">
        <f t="shared" si="33"/>
        <v>0</v>
      </c>
    </row>
    <row r="43" spans="1:16" ht="15" customHeight="1" thickBot="1">
      <c r="A43" s="571" t="s">
        <v>14</v>
      </c>
      <c r="B43" s="572"/>
      <c r="C43" s="572"/>
      <c r="D43" s="572"/>
      <c r="E43" s="573"/>
      <c r="F43" s="345">
        <f aca="true" t="shared" si="34" ref="F43:P43">SUM(F13:F42)</f>
        <v>55500</v>
      </c>
      <c r="G43" s="345">
        <f t="shared" si="34"/>
        <v>111000</v>
      </c>
      <c r="H43" s="345">
        <f>SUM(H13:H42)</f>
        <v>111000</v>
      </c>
      <c r="I43" s="345">
        <f>SUM(I13:I42)</f>
        <v>111000</v>
      </c>
      <c r="J43" s="345">
        <f>SUM(J13:J42)</f>
        <v>111000</v>
      </c>
      <c r="K43" s="345">
        <f>SUM(K13:K42)</f>
        <v>111000</v>
      </c>
      <c r="L43" s="345">
        <f>SUM(L13:L42)</f>
        <v>111000</v>
      </c>
      <c r="M43" s="345">
        <f t="shared" si="34"/>
        <v>111000</v>
      </c>
      <c r="N43" s="345">
        <f t="shared" si="34"/>
        <v>111000</v>
      </c>
      <c r="O43" s="345">
        <f t="shared" si="34"/>
        <v>111000</v>
      </c>
      <c r="P43" s="345">
        <f t="shared" si="34"/>
        <v>111000</v>
      </c>
    </row>
    <row r="44" spans="1:16" ht="10.5" thickTop="1">
      <c r="A44" s="43"/>
      <c r="B44" s="43"/>
      <c r="C44" s="334"/>
      <c r="D44" s="334"/>
      <c r="E44" s="43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</row>
    <row r="45" spans="1:16" ht="14.25" customHeight="1" thickBot="1">
      <c r="A45" s="568" t="s">
        <v>214</v>
      </c>
      <c r="B45" s="569"/>
      <c r="C45" s="569"/>
      <c r="D45" s="569"/>
      <c r="E45" s="308"/>
      <c r="F45" s="312">
        <f aca="true" t="shared" si="35" ref="F45:P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55500</v>
      </c>
      <c r="G45" s="312">
        <f t="shared" si="35"/>
        <v>111000</v>
      </c>
      <c r="H45" s="312">
        <f>(H13*$C$13)+(H15*$C$15)+(H16*$C$16)+(H17*$C$17)+(H18*$C$18)+(H19*$C$19)+(H20*$C$20)+(H22*$C$22)+(H23*$C$23)+(H24*$C$24)+(H25*$C$25)+(H27*$C$27)+(H28*$C$28)+(H29*$C$29)+(H31*$C$31)+(H32*$C$32)+(H33*$C$33)+(H35*$C$35)+(H36*$C$36)+(H37*$C$37)+(H38*$C$38)+(H39*$C$39)+(H40*$C$40)+(H41*$C$41)+(H42*$C$42)</f>
        <v>111000</v>
      </c>
      <c r="I45" s="312">
        <f>(I13*$C$13)+(I15*$C$15)+(I16*$C$16)+(I17*$C$17)+(I18*$C$18)+(I19*$C$19)+(I20*$C$20)+(I22*$C$22)+(I23*$C$23)+(I24*$C$24)+(I25*$C$25)+(I27*$C$27)+(I28*$C$28)+(I29*$C$29)+(I31*$C$31)+(I32*$C$32)+(I33*$C$33)+(I35*$C$35)+(I36*$C$36)+(I37*$C$37)+(I38*$C$38)+(I39*$C$39)+(I40*$C$40)+(I41*$C$41)+(I42*$C$42)</f>
        <v>111000</v>
      </c>
      <c r="J45" s="312">
        <f>(J13*$C$13)+(J15*$C$15)+(J16*$C$16)+(J17*$C$17)+(J18*$C$18)+(J19*$C$19)+(J20*$C$20)+(J22*$C$22)+(J23*$C$23)+(J24*$C$24)+(J25*$C$25)+(J27*$C$27)+(J28*$C$28)+(J29*$C$29)+(J31*$C$31)+(J32*$C$32)+(J33*$C$33)+(J35*$C$35)+(J36*$C$36)+(J37*$C$37)+(J38*$C$38)+(J39*$C$39)+(J40*$C$40)+(J41*$C$41)+(J42*$C$42)</f>
        <v>111000</v>
      </c>
      <c r="K45" s="312">
        <f>(K13*$C$13)+(K15*$C$15)+(K16*$C$16)+(K17*$C$17)+(K18*$C$18)+(K19*$C$19)+(K20*$C$20)+(K22*$C$22)+(K23*$C$23)+(K24*$C$24)+(K25*$C$25)+(K27*$C$27)+(K28*$C$28)+(K29*$C$29)+(K31*$C$31)+(K32*$C$32)+(K33*$C$33)+(K35*$C$35)+(K36*$C$36)+(K37*$C$37)+(K38*$C$38)+(K39*$C$39)+(K40*$C$40)+(K41*$C$41)+(K42*$C$42)</f>
        <v>111000</v>
      </c>
      <c r="L45" s="312">
        <f>(L13*$C$13)+(L15*$C$15)+(L16*$C$16)+(L17*$C$17)+(L18*$C$18)+(L19*$C$19)+(L20*$C$20)+(L22*$C$22)+(L23*$C$23)+(L24*$C$24)+(L25*$C$25)+(L27*$C$27)+(L28*$C$28)+(L29*$C$29)+(L31*$C$31)+(L32*$C$32)+(L33*$C$33)+(L35*$C$35)+(L36*$C$36)+(L37*$C$37)+(L38*$C$38)+(L39*$C$39)+(L40*$C$40)+(L41*$C$41)+(L42*$C$42)</f>
        <v>111000</v>
      </c>
      <c r="M45" s="312">
        <f t="shared" si="35"/>
        <v>111000</v>
      </c>
      <c r="N45" s="312">
        <f t="shared" si="35"/>
        <v>111000</v>
      </c>
      <c r="O45" s="312">
        <f t="shared" si="35"/>
        <v>111000</v>
      </c>
      <c r="P45" s="312">
        <f t="shared" si="35"/>
        <v>111000</v>
      </c>
    </row>
    <row r="46" spans="1:16" ht="10.5" thickTop="1">
      <c r="A46" s="309"/>
      <c r="B46" s="309"/>
      <c r="C46" s="334"/>
      <c r="D46" s="334"/>
      <c r="E46" s="309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</row>
    <row r="47" spans="1:16" ht="10.5" thickBot="1">
      <c r="A47" s="568" t="s">
        <v>215</v>
      </c>
      <c r="B47" s="569"/>
      <c r="C47" s="569"/>
      <c r="D47" s="569"/>
      <c r="E47" s="308"/>
      <c r="F47" s="312">
        <f aca="true" t="shared" si="36" ref="F47:P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12">
        <f t="shared" si="36"/>
        <v>0</v>
      </c>
      <c r="H47" s="312">
        <f>(H13*$D$13)+(H15*$D$15)+(H16*$D$16)+(H17*$D$17)+(H18*$D$18)+(H19*$D$19)+(H20*$D$20)+(H22*$D$22)+(H23*$D$23)+(H24*$D$24)+(H25*$D$25)+(H27*$D$27)+(H28*$D$28)+(H29*$D$29)+(H31*$D$31)+(H32*$D$32)+(H33*$D$33)+(H35*$D$35)+(H36*$D$36)+(H37*$D$37)+(H38*$D$38)+(H39*$D$39)+(H40*$D$40)+(H41*$D$41)+(H42*$D$42)</f>
        <v>0</v>
      </c>
      <c r="I47" s="312">
        <f>(I13*$D$13)+(I15*$D$15)+(I16*$D$16)+(I17*$D$17)+(I18*$D$18)+(I19*$D$19)+(I20*$D$20)+(I22*$D$22)+(I23*$D$23)+(I24*$D$24)+(I25*$D$25)+(I27*$D$27)+(I28*$D$28)+(I29*$D$29)+(I31*$D$31)+(I32*$D$32)+(I33*$D$33)+(I35*$D$35)+(I36*$D$36)+(I37*$D$37)+(I38*$D$38)+(I39*$D$39)+(I40*$D$40)+(I41*$D$41)+(I42*$D$42)</f>
        <v>0</v>
      </c>
      <c r="J47" s="312">
        <f>(J13*$D$13)+(J15*$D$15)+(J16*$D$16)+(J17*$D$17)+(J18*$D$18)+(J19*$D$19)+(J20*$D$20)+(J22*$D$22)+(J23*$D$23)+(J24*$D$24)+(J25*$D$25)+(J27*$D$27)+(J28*$D$28)+(J29*$D$29)+(J31*$D$31)+(J32*$D$32)+(J33*$D$33)+(J35*$D$35)+(J36*$D$36)+(J37*$D$37)+(J38*$D$38)+(J39*$D$39)+(J40*$D$40)+(J41*$D$41)+(J42*$D$42)</f>
        <v>0</v>
      </c>
      <c r="K47" s="312">
        <f>(K13*$D$13)+(K15*$D$15)+(K16*$D$16)+(K17*$D$17)+(K18*$D$18)+(K19*$D$19)+(K20*$D$20)+(K22*$D$22)+(K23*$D$23)+(K24*$D$24)+(K25*$D$25)+(K27*$D$27)+(K28*$D$28)+(K29*$D$29)+(K31*$D$31)+(K32*$D$32)+(K33*$D$33)+(K35*$D$35)+(K36*$D$36)+(K37*$D$37)+(K38*$D$38)+(K39*$D$39)+(K40*$D$40)+(K41*$D$41)+(K42*$D$42)</f>
        <v>0</v>
      </c>
      <c r="L47" s="312">
        <f>(L13*$D$13)+(L15*$D$15)+(L16*$D$16)+(L17*$D$17)+(L18*$D$18)+(L19*$D$19)+(L20*$D$20)+(L22*$D$22)+(L23*$D$23)+(L24*$D$24)+(L25*$D$25)+(L27*$D$27)+(L28*$D$28)+(L29*$D$29)+(L31*$D$31)+(L32*$D$32)+(L33*$D$33)+(L35*$D$35)+(L36*$D$36)+(L37*$D$37)+(L38*$D$38)+(L39*$D$39)+(L40*$D$40)+(L41*$D$41)+(L42*$D$42)</f>
        <v>0</v>
      </c>
      <c r="M47" s="312">
        <f t="shared" si="36"/>
        <v>0</v>
      </c>
      <c r="N47" s="312">
        <f t="shared" si="36"/>
        <v>0</v>
      </c>
      <c r="O47" s="312">
        <f t="shared" si="36"/>
        <v>0</v>
      </c>
      <c r="P47" s="312">
        <f t="shared" si="36"/>
        <v>0</v>
      </c>
    </row>
    <row r="48" spans="1:16" ht="10.5" thickTop="1">
      <c r="A48" s="309"/>
      <c r="B48" s="309"/>
      <c r="C48" s="334"/>
      <c r="D48" s="334"/>
      <c r="E48" s="309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</row>
    <row r="49" spans="1:16" ht="10.5" thickBot="1">
      <c r="A49" s="568" t="s">
        <v>216</v>
      </c>
      <c r="B49" s="569"/>
      <c r="C49" s="569"/>
      <c r="D49" s="569"/>
      <c r="E49" s="308"/>
      <c r="F49" s="312">
        <f aca="true" t="shared" si="37" ref="F49:P49">F45+F47</f>
        <v>55500</v>
      </c>
      <c r="G49" s="312">
        <f t="shared" si="37"/>
        <v>111000</v>
      </c>
      <c r="H49" s="312">
        <f>H45+H47</f>
        <v>111000</v>
      </c>
      <c r="I49" s="312">
        <f>I45+I47</f>
        <v>111000</v>
      </c>
      <c r="J49" s="312">
        <f>J45+J47</f>
        <v>111000</v>
      </c>
      <c r="K49" s="312">
        <f>K45+K47</f>
        <v>111000</v>
      </c>
      <c r="L49" s="312">
        <f>L45+L47</f>
        <v>111000</v>
      </c>
      <c r="M49" s="312">
        <f t="shared" si="37"/>
        <v>111000</v>
      </c>
      <c r="N49" s="312">
        <f t="shared" si="37"/>
        <v>111000</v>
      </c>
      <c r="O49" s="312">
        <f t="shared" si="37"/>
        <v>111000</v>
      </c>
      <c r="P49" s="312">
        <f t="shared" si="37"/>
        <v>111000</v>
      </c>
    </row>
    <row r="50" spans="1:16" ht="10.5" thickTop="1">
      <c r="A50" s="309"/>
      <c r="B50" s="309"/>
      <c r="C50" s="334"/>
      <c r="D50" s="334"/>
      <c r="E50" s="309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</row>
    <row r="51" spans="1:16" ht="10.5" thickBot="1">
      <c r="A51" s="574" t="s">
        <v>43</v>
      </c>
      <c r="B51" s="574"/>
      <c r="C51" s="574"/>
      <c r="D51" s="574"/>
      <c r="E51" s="574"/>
      <c r="F51" s="313">
        <f aca="true" t="shared" si="38" ref="F51:P51">(F13*$B$13)+(F15*$B$15)+(F16*$B$16)+(F17*$B$17)+(F18*$B$18)+(F19*$B$19)+(F20*$B$20)+(F22*$B$22)+(F23*$B$23)+(F24*$B$24)+(F25*$B$25)+(F27*$B$27)+(F29*$B$29)+(F36*$B$36)+(F41*$B$41)</f>
        <v>4956</v>
      </c>
      <c r="G51" s="313">
        <f t="shared" si="38"/>
        <v>9912</v>
      </c>
      <c r="H51" s="313">
        <f>(H13*$B$13)+(H15*$B$15)+(H16*$B$16)+(H17*$B$17)+(H18*$B$18)+(H19*$B$19)+(H20*$B$20)+(H22*$B$22)+(H23*$B$23)+(H24*$B$24)+(H25*$B$25)+(H27*$B$27)+(H29*$B$29)+(H36*$B$36)+(H41*$B$41)</f>
        <v>9912</v>
      </c>
      <c r="I51" s="313">
        <f>(I13*$B$13)+(I15*$B$15)+(I16*$B$16)+(I17*$B$17)+(I18*$B$18)+(I19*$B$19)+(I20*$B$20)+(I22*$B$22)+(I23*$B$23)+(I24*$B$24)+(I25*$B$25)+(I27*$B$27)+(I29*$B$29)+(I36*$B$36)+(I41*$B$41)</f>
        <v>9912</v>
      </c>
      <c r="J51" s="313">
        <f>(J13*$B$13)+(J15*$B$15)+(J16*$B$16)+(J17*$B$17)+(J18*$B$18)+(J19*$B$19)+(J20*$B$20)+(J22*$B$22)+(J23*$B$23)+(J24*$B$24)+(J25*$B$25)+(J27*$B$27)+(J29*$B$29)+(J36*$B$36)+(J41*$B$41)</f>
        <v>9912</v>
      </c>
      <c r="K51" s="313">
        <f>(K13*$B$13)+(K15*$B$15)+(K16*$B$16)+(K17*$B$17)+(K18*$B$18)+(K19*$B$19)+(K20*$B$20)+(K22*$B$22)+(K23*$B$23)+(K24*$B$24)+(K25*$B$25)+(K27*$B$27)+(K29*$B$29)+(K36*$B$36)+(K41*$B$41)</f>
        <v>9912</v>
      </c>
      <c r="L51" s="313">
        <f>(L13*$B$13)+(L15*$B$15)+(L16*$B$16)+(L17*$B$17)+(L18*$B$18)+(L19*$B$19)+(L20*$B$20)+(L22*$B$22)+(L23*$B$23)+(L24*$B$24)+(L25*$B$25)+(L27*$B$27)+(L29*$B$29)+(L36*$B$36)+(L41*$B$41)</f>
        <v>9912</v>
      </c>
      <c r="M51" s="313">
        <f t="shared" si="38"/>
        <v>9912</v>
      </c>
      <c r="N51" s="313">
        <f t="shared" si="38"/>
        <v>9912</v>
      </c>
      <c r="O51" s="313">
        <f t="shared" si="38"/>
        <v>9912</v>
      </c>
      <c r="P51" s="313">
        <f t="shared" si="38"/>
        <v>9912</v>
      </c>
    </row>
    <row r="52" spans="1:16" ht="10.5" thickTop="1">
      <c r="A52" s="309"/>
      <c r="B52" s="309"/>
      <c r="C52" s="334"/>
      <c r="D52" s="334"/>
      <c r="E52" s="309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1:16" ht="10.5" thickBot="1">
      <c r="A53" s="570" t="s">
        <v>42</v>
      </c>
      <c r="B53" s="570"/>
      <c r="C53" s="570"/>
      <c r="D53" s="570"/>
      <c r="E53" s="570"/>
      <c r="F53" s="314">
        <f aca="true" t="shared" si="39" ref="F53:P53">F43+F51</f>
        <v>60456</v>
      </c>
      <c r="G53" s="314">
        <f t="shared" si="39"/>
        <v>120912</v>
      </c>
      <c r="H53" s="314">
        <f>H43+H51</f>
        <v>120912</v>
      </c>
      <c r="I53" s="314">
        <f>I43+I51</f>
        <v>120912</v>
      </c>
      <c r="J53" s="314">
        <f>J43+J51</f>
        <v>120912</v>
      </c>
      <c r="K53" s="314">
        <f>K43+K51</f>
        <v>120912</v>
      </c>
      <c r="L53" s="314">
        <f>L43+L51</f>
        <v>120912</v>
      </c>
      <c r="M53" s="314">
        <f t="shared" si="39"/>
        <v>120912</v>
      </c>
      <c r="N53" s="314">
        <f t="shared" si="39"/>
        <v>120912</v>
      </c>
      <c r="O53" s="314">
        <f t="shared" si="39"/>
        <v>120912</v>
      </c>
      <c r="P53" s="314">
        <f t="shared" si="39"/>
        <v>120912</v>
      </c>
    </row>
    <row r="54" ht="10.5" thickTop="1"/>
  </sheetData>
  <sheetProtection/>
  <mergeCells count="7">
    <mergeCell ref="A49:D49"/>
    <mergeCell ref="A53:E53"/>
    <mergeCell ref="A4:P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05"/>
  <sheetViews>
    <sheetView showGridLines="0" showZeros="0" zoomScalePageLayoutView="0" workbookViewId="0" topLeftCell="A1">
      <selection activeCell="N36" sqref="N36"/>
    </sheetView>
  </sheetViews>
  <sheetFormatPr defaultColWidth="9.140625" defaultRowHeight="12.75"/>
  <cols>
    <col min="1" max="1" width="23.28125" style="51" customWidth="1"/>
    <col min="2" max="2" width="5.28125" style="51" customWidth="1"/>
    <col min="3" max="3" width="6.140625" style="51" customWidth="1"/>
    <col min="4" max="14" width="8.28125" style="51" customWidth="1"/>
    <col min="15" max="18" width="11.421875" style="51" customWidth="1"/>
    <col min="19" max="42" width="11.7109375" style="51" customWidth="1"/>
    <col min="43" max="16384" width="8.7109375" style="51" customWidth="1"/>
  </cols>
  <sheetData>
    <row r="1" spans="1:14" ht="12.75">
      <c r="A1" s="43"/>
      <c r="B1" s="43"/>
      <c r="C1" s="35"/>
      <c r="D1" s="35"/>
      <c r="E1" s="35"/>
      <c r="F1" s="35"/>
      <c r="G1" s="35"/>
      <c r="H1" s="35"/>
      <c r="I1" s="35"/>
      <c r="J1" s="35"/>
      <c r="K1" s="35"/>
      <c r="L1" s="35"/>
      <c r="M1" s="406" t="str">
        <f>+VN!L1</f>
        <v>Empresa:</v>
      </c>
      <c r="N1" s="398" t="str">
        <f>+Pressupostos!E1</f>
        <v>JUPITER</v>
      </c>
    </row>
    <row r="2" spans="1:14" ht="12.75">
      <c r="A2" s="79"/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8" t="str">
        <f>+Pressupostos!B9</f>
        <v>Euros</v>
      </c>
    </row>
    <row r="3" spans="1:14" ht="12.75">
      <c r="A3" s="79"/>
      <c r="B3" s="7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8"/>
    </row>
    <row r="4" spans="1:14" ht="15.75">
      <c r="A4" s="562" t="s">
        <v>161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</row>
    <row r="5" spans="1:14" ht="10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0.5">
      <c r="A6" s="41"/>
      <c r="B6" s="72"/>
      <c r="C6" s="72"/>
      <c r="D6" s="40">
        <f>+VN!C8</f>
        <v>2021</v>
      </c>
      <c r="E6" s="40">
        <f>+VN!D8</f>
        <v>2022</v>
      </c>
      <c r="F6" s="40">
        <f>+VN!E8</f>
        <v>2023</v>
      </c>
      <c r="G6" s="40">
        <f>+VN!F8</f>
        <v>2024</v>
      </c>
      <c r="H6" s="40">
        <f>+VN!G8</f>
        <v>2025</v>
      </c>
      <c r="I6" s="40">
        <f>+VN!H8</f>
        <v>2026</v>
      </c>
      <c r="J6" s="40">
        <f>+VN!I8</f>
        <v>2027</v>
      </c>
      <c r="K6" s="40">
        <f>+VN!J8</f>
        <v>2028</v>
      </c>
      <c r="L6" s="40">
        <f>+VN!K8</f>
        <v>2029</v>
      </c>
      <c r="M6" s="40">
        <f>+VN!L8</f>
        <v>2030</v>
      </c>
      <c r="N6" s="40">
        <f>+VN!M8</f>
        <v>2031</v>
      </c>
    </row>
    <row r="7" spans="1:14" ht="10.5">
      <c r="A7" s="450" t="s">
        <v>384</v>
      </c>
      <c r="B7" s="451"/>
      <c r="C7" s="452"/>
      <c r="D7" s="413">
        <v>14</v>
      </c>
      <c r="E7" s="413">
        <v>14</v>
      </c>
      <c r="F7" s="413">
        <v>14</v>
      </c>
      <c r="G7" s="413">
        <v>14</v>
      </c>
      <c r="H7" s="413">
        <f>+G7</f>
        <v>14</v>
      </c>
      <c r="I7" s="413">
        <f aca="true" t="shared" si="0" ref="I7:N7">+H7</f>
        <v>14</v>
      </c>
      <c r="J7" s="413">
        <f t="shared" si="0"/>
        <v>14</v>
      </c>
      <c r="K7" s="413">
        <f t="shared" si="0"/>
        <v>14</v>
      </c>
      <c r="L7" s="413">
        <f t="shared" si="0"/>
        <v>14</v>
      </c>
      <c r="M7" s="413">
        <f t="shared" si="0"/>
        <v>14</v>
      </c>
      <c r="N7" s="413">
        <f t="shared" si="0"/>
        <v>14</v>
      </c>
    </row>
    <row r="8" spans="1:14" ht="10.5">
      <c r="A8" s="450" t="s">
        <v>385</v>
      </c>
      <c r="B8" s="451"/>
      <c r="C8" s="452"/>
      <c r="D8" s="77">
        <v>0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0.5">
      <c r="A9" s="453" t="s">
        <v>386</v>
      </c>
      <c r="B9" s="454"/>
      <c r="C9" s="455"/>
      <c r="D9" s="456">
        <v>12</v>
      </c>
      <c r="E9" s="456">
        <v>12</v>
      </c>
      <c r="F9" s="456">
        <v>12</v>
      </c>
      <c r="G9" s="456">
        <v>12</v>
      </c>
      <c r="H9" s="456">
        <v>12</v>
      </c>
      <c r="I9" s="456">
        <v>12</v>
      </c>
      <c r="J9" s="456">
        <v>12</v>
      </c>
      <c r="K9" s="456">
        <v>12</v>
      </c>
      <c r="L9" s="456">
        <v>12</v>
      </c>
      <c r="M9" s="456">
        <v>12</v>
      </c>
      <c r="N9" s="456">
        <v>12</v>
      </c>
    </row>
    <row r="10" spans="1:14" ht="10.5">
      <c r="A10" s="80"/>
      <c r="B10" s="80"/>
      <c r="C10" s="81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1.25">
      <c r="A11" s="578" t="s">
        <v>266</v>
      </c>
      <c r="B11" s="579"/>
      <c r="C11" s="580"/>
      <c r="D11" s="40">
        <f aca="true" t="shared" si="1" ref="D11:N11">+D6</f>
        <v>2021</v>
      </c>
      <c r="E11" s="40">
        <f t="shared" si="1"/>
        <v>2022</v>
      </c>
      <c r="F11" s="40">
        <f aca="true" t="shared" si="2" ref="F11:K11">+F6</f>
        <v>2023</v>
      </c>
      <c r="G11" s="40">
        <f t="shared" si="2"/>
        <v>2024</v>
      </c>
      <c r="H11" s="40">
        <f t="shared" si="2"/>
        <v>2025</v>
      </c>
      <c r="I11" s="40">
        <f t="shared" si="2"/>
        <v>2026</v>
      </c>
      <c r="J11" s="40">
        <f t="shared" si="2"/>
        <v>2027</v>
      </c>
      <c r="K11" s="40">
        <f t="shared" si="2"/>
        <v>2028</v>
      </c>
      <c r="L11" s="40">
        <f t="shared" si="1"/>
        <v>2029</v>
      </c>
      <c r="M11" s="40">
        <f t="shared" si="1"/>
        <v>2030</v>
      </c>
      <c r="N11" s="40">
        <f t="shared" si="1"/>
        <v>2031</v>
      </c>
    </row>
    <row r="12" spans="1:14" ht="10.5">
      <c r="A12" s="457" t="s">
        <v>267</v>
      </c>
      <c r="B12" s="458"/>
      <c r="C12" s="459"/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</row>
    <row r="13" spans="1:14" ht="10.5">
      <c r="A13" s="31" t="s">
        <v>268</v>
      </c>
      <c r="B13" s="460"/>
      <c r="C13" s="461"/>
      <c r="D13" s="28">
        <v>3</v>
      </c>
      <c r="E13" s="28">
        <v>3</v>
      </c>
      <c r="F13" s="28">
        <v>3</v>
      </c>
      <c r="G13" s="28">
        <v>3</v>
      </c>
      <c r="H13" s="28">
        <v>3</v>
      </c>
      <c r="I13" s="28">
        <v>3</v>
      </c>
      <c r="J13" s="28">
        <v>3</v>
      </c>
      <c r="K13" s="28">
        <v>3</v>
      </c>
      <c r="L13" s="28">
        <v>3</v>
      </c>
      <c r="M13" s="28">
        <v>3</v>
      </c>
      <c r="N13" s="28">
        <v>3</v>
      </c>
    </row>
    <row r="14" spans="1:14" ht="10.5">
      <c r="A14" s="31" t="s">
        <v>139</v>
      </c>
      <c r="B14" s="460"/>
      <c r="C14" s="461"/>
      <c r="D14" s="28">
        <v>3</v>
      </c>
      <c r="E14" s="28">
        <v>8</v>
      </c>
      <c r="F14" s="28">
        <v>8</v>
      </c>
      <c r="G14" s="28">
        <v>8</v>
      </c>
      <c r="H14" s="28">
        <v>8</v>
      </c>
      <c r="I14" s="28">
        <v>8</v>
      </c>
      <c r="J14" s="28">
        <v>8</v>
      </c>
      <c r="K14" s="28">
        <v>8</v>
      </c>
      <c r="L14" s="28">
        <v>8</v>
      </c>
      <c r="M14" s="28">
        <v>8</v>
      </c>
      <c r="N14" s="28">
        <v>8</v>
      </c>
    </row>
    <row r="15" spans="1:14" ht="10.5">
      <c r="A15" s="31" t="s">
        <v>140</v>
      </c>
      <c r="B15" s="460"/>
      <c r="C15" s="461"/>
      <c r="D15" s="28">
        <v>3</v>
      </c>
      <c r="E15" s="28">
        <v>5</v>
      </c>
      <c r="F15" s="28">
        <v>7</v>
      </c>
      <c r="G15" s="28">
        <v>7</v>
      </c>
      <c r="H15" s="28">
        <v>7</v>
      </c>
      <c r="I15" s="28">
        <v>7</v>
      </c>
      <c r="J15" s="28">
        <v>7</v>
      </c>
      <c r="K15" s="28">
        <v>7</v>
      </c>
      <c r="L15" s="28">
        <v>7</v>
      </c>
      <c r="M15" s="28">
        <v>7</v>
      </c>
      <c r="N15" s="28">
        <v>7</v>
      </c>
    </row>
    <row r="16" spans="1:14" ht="10.5">
      <c r="A16" s="31" t="s">
        <v>141</v>
      </c>
      <c r="B16" s="460"/>
      <c r="C16" s="461"/>
      <c r="D16" s="28">
        <v>1</v>
      </c>
      <c r="E16" s="28">
        <v>4</v>
      </c>
      <c r="F16" s="28">
        <v>4</v>
      </c>
      <c r="G16" s="28">
        <v>4</v>
      </c>
      <c r="H16" s="28">
        <v>4</v>
      </c>
      <c r="I16" s="28">
        <v>4</v>
      </c>
      <c r="J16" s="28">
        <v>4</v>
      </c>
      <c r="K16" s="28">
        <v>4</v>
      </c>
      <c r="L16" s="28">
        <v>4</v>
      </c>
      <c r="M16" s="28">
        <v>4</v>
      </c>
      <c r="N16" s="28">
        <v>4</v>
      </c>
    </row>
    <row r="17" spans="1:14" ht="10.5">
      <c r="A17" s="31" t="s">
        <v>142</v>
      </c>
      <c r="B17" s="460"/>
      <c r="C17" s="461"/>
      <c r="D17" s="28">
        <v>0</v>
      </c>
      <c r="E17" s="28">
        <v>2</v>
      </c>
      <c r="F17" s="28">
        <v>4</v>
      </c>
      <c r="G17" s="28">
        <v>4</v>
      </c>
      <c r="H17" s="28">
        <v>4</v>
      </c>
      <c r="I17" s="28">
        <v>4</v>
      </c>
      <c r="J17" s="28">
        <v>4</v>
      </c>
      <c r="K17" s="28">
        <v>4</v>
      </c>
      <c r="L17" s="28">
        <v>4</v>
      </c>
      <c r="M17" s="28">
        <v>4</v>
      </c>
      <c r="N17" s="28">
        <v>4</v>
      </c>
    </row>
    <row r="18" spans="1:14" ht="10.5">
      <c r="A18" s="31" t="s">
        <v>143</v>
      </c>
      <c r="B18" s="460"/>
      <c r="C18" s="461"/>
      <c r="D18" s="28">
        <v>1</v>
      </c>
      <c r="E18" s="28">
        <v>2</v>
      </c>
      <c r="F18" s="28">
        <v>3</v>
      </c>
      <c r="G18" s="28">
        <v>3</v>
      </c>
      <c r="H18" s="28">
        <v>3</v>
      </c>
      <c r="I18" s="28">
        <v>3</v>
      </c>
      <c r="J18" s="28">
        <v>3</v>
      </c>
      <c r="K18" s="28">
        <v>3</v>
      </c>
      <c r="L18" s="28">
        <v>3</v>
      </c>
      <c r="M18" s="28">
        <v>3</v>
      </c>
      <c r="N18" s="28">
        <v>3</v>
      </c>
    </row>
    <row r="19" spans="1:14" ht="10.5">
      <c r="A19" s="31" t="s">
        <v>269</v>
      </c>
      <c r="B19" s="460"/>
      <c r="C19" s="461"/>
      <c r="D19" s="28">
        <v>1</v>
      </c>
      <c r="E19" s="28">
        <v>2</v>
      </c>
      <c r="F19" s="28">
        <v>4</v>
      </c>
      <c r="G19" s="28">
        <v>4</v>
      </c>
      <c r="H19" s="28">
        <v>4</v>
      </c>
      <c r="I19" s="28">
        <v>4</v>
      </c>
      <c r="J19" s="28">
        <v>4</v>
      </c>
      <c r="K19" s="28">
        <v>4</v>
      </c>
      <c r="L19" s="28">
        <v>4</v>
      </c>
      <c r="M19" s="28">
        <v>4</v>
      </c>
      <c r="N19" s="28">
        <v>4</v>
      </c>
    </row>
    <row r="20" spans="1:14" ht="10.5">
      <c r="A20" s="31" t="s">
        <v>144</v>
      </c>
      <c r="B20" s="460"/>
      <c r="C20" s="461"/>
      <c r="D20" s="28">
        <v>2</v>
      </c>
      <c r="E20" s="28">
        <v>7</v>
      </c>
      <c r="F20" s="28">
        <v>14</v>
      </c>
      <c r="G20" s="28">
        <v>14</v>
      </c>
      <c r="H20" s="28">
        <v>14</v>
      </c>
      <c r="I20" s="28">
        <v>14</v>
      </c>
      <c r="J20" s="28">
        <v>14</v>
      </c>
      <c r="K20" s="28">
        <v>14</v>
      </c>
      <c r="L20" s="28">
        <v>14</v>
      </c>
      <c r="M20" s="28">
        <v>14</v>
      </c>
      <c r="N20" s="28">
        <v>14</v>
      </c>
    </row>
    <row r="21" spans="1:14" ht="10.5">
      <c r="A21" s="32"/>
      <c r="B21" s="462"/>
      <c r="C21" s="46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0.5">
      <c r="A22" s="32"/>
      <c r="B22" s="462"/>
      <c r="C22" s="46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0.5" thickBot="1">
      <c r="A23" s="571" t="s">
        <v>30</v>
      </c>
      <c r="B23" s="572"/>
      <c r="C23" s="573"/>
      <c r="D23" s="83">
        <f aca="true" t="shared" si="3" ref="D23:N23">+SUM(D12:D22)</f>
        <v>16</v>
      </c>
      <c r="E23" s="83">
        <f t="shared" si="3"/>
        <v>35</v>
      </c>
      <c r="F23" s="83">
        <f aca="true" t="shared" si="4" ref="F23:K23">+SUM(F12:F22)</f>
        <v>49</v>
      </c>
      <c r="G23" s="83">
        <f t="shared" si="4"/>
        <v>49</v>
      </c>
      <c r="H23" s="83">
        <f t="shared" si="4"/>
        <v>49</v>
      </c>
      <c r="I23" s="83">
        <f t="shared" si="4"/>
        <v>49</v>
      </c>
      <c r="J23" s="83">
        <f t="shared" si="4"/>
        <v>49</v>
      </c>
      <c r="K23" s="83">
        <f t="shared" si="4"/>
        <v>49</v>
      </c>
      <c r="L23" s="83">
        <f t="shared" si="3"/>
        <v>49</v>
      </c>
      <c r="M23" s="83">
        <f t="shared" si="3"/>
        <v>49</v>
      </c>
      <c r="N23" s="83">
        <f t="shared" si="3"/>
        <v>49</v>
      </c>
    </row>
    <row r="24" spans="1:14" ht="10.5" thickTop="1">
      <c r="A24" s="80"/>
      <c r="B24" s="80"/>
      <c r="C24" s="8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0.5">
      <c r="A25" s="80"/>
      <c r="B25" s="80"/>
      <c r="C25" s="8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1.25">
      <c r="A26" s="578" t="s">
        <v>387</v>
      </c>
      <c r="B26" s="579"/>
      <c r="C26" s="580"/>
      <c r="D26" s="40">
        <f aca="true" t="shared" si="5" ref="D26:N26">+D21</f>
        <v>0</v>
      </c>
      <c r="E26" s="40">
        <f t="shared" si="5"/>
        <v>0</v>
      </c>
      <c r="F26" s="40">
        <f aca="true" t="shared" si="6" ref="F26:K26">+F21</f>
        <v>0</v>
      </c>
      <c r="G26" s="40">
        <f t="shared" si="6"/>
        <v>0</v>
      </c>
      <c r="H26" s="40">
        <f t="shared" si="6"/>
        <v>0</v>
      </c>
      <c r="I26" s="40">
        <f t="shared" si="6"/>
        <v>0</v>
      </c>
      <c r="J26" s="40">
        <f t="shared" si="6"/>
        <v>0</v>
      </c>
      <c r="K26" s="40">
        <f t="shared" si="6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</row>
    <row r="27" spans="1:14" ht="10.5">
      <c r="A27" s="414" t="str">
        <f>+A12</f>
        <v>Administração / Direção</v>
      </c>
      <c r="B27" s="415"/>
      <c r="C27" s="416"/>
      <c r="D27" s="324">
        <v>12</v>
      </c>
      <c r="E27" s="324">
        <v>12</v>
      </c>
      <c r="F27" s="324">
        <v>12</v>
      </c>
      <c r="G27" s="324">
        <v>12</v>
      </c>
      <c r="H27" s="324">
        <v>12</v>
      </c>
      <c r="I27" s="324">
        <v>12</v>
      </c>
      <c r="J27" s="324">
        <v>12</v>
      </c>
      <c r="K27" s="324">
        <v>12</v>
      </c>
      <c r="L27" s="324">
        <v>12</v>
      </c>
      <c r="M27" s="324">
        <v>12</v>
      </c>
      <c r="N27" s="324">
        <v>12</v>
      </c>
    </row>
    <row r="28" spans="1:14" ht="10.5">
      <c r="A28" s="414" t="str">
        <f aca="true" t="shared" si="7" ref="A28:A37">+A13</f>
        <v>Administrativa / Financeira</v>
      </c>
      <c r="B28" s="415"/>
      <c r="C28" s="416"/>
      <c r="D28" s="324">
        <v>12</v>
      </c>
      <c r="E28" s="324">
        <v>12</v>
      </c>
      <c r="F28" s="324">
        <v>12</v>
      </c>
      <c r="G28" s="324">
        <v>12</v>
      </c>
      <c r="H28" s="324">
        <v>12</v>
      </c>
      <c r="I28" s="324">
        <v>12</v>
      </c>
      <c r="J28" s="324">
        <v>12</v>
      </c>
      <c r="K28" s="324">
        <v>12</v>
      </c>
      <c r="L28" s="324">
        <v>12</v>
      </c>
      <c r="M28" s="324">
        <v>12</v>
      </c>
      <c r="N28" s="324">
        <v>12</v>
      </c>
    </row>
    <row r="29" spans="1:14" ht="10.5">
      <c r="A29" s="414" t="str">
        <f t="shared" si="7"/>
        <v>Comercial / Marketing</v>
      </c>
      <c r="B29" s="415"/>
      <c r="C29" s="416"/>
      <c r="D29" s="324">
        <v>12</v>
      </c>
      <c r="E29" s="324">
        <v>12</v>
      </c>
      <c r="F29" s="324">
        <v>12</v>
      </c>
      <c r="G29" s="324">
        <v>12</v>
      </c>
      <c r="H29" s="324">
        <v>12</v>
      </c>
      <c r="I29" s="324">
        <v>12</v>
      </c>
      <c r="J29" s="324">
        <v>12</v>
      </c>
      <c r="K29" s="324">
        <v>12</v>
      </c>
      <c r="L29" s="324">
        <v>12</v>
      </c>
      <c r="M29" s="324">
        <v>12</v>
      </c>
      <c r="N29" s="324">
        <v>12</v>
      </c>
    </row>
    <row r="30" spans="1:14" ht="10.5">
      <c r="A30" s="414" t="str">
        <f t="shared" si="7"/>
        <v>Produção / Operacional</v>
      </c>
      <c r="B30" s="415"/>
      <c r="C30" s="416"/>
      <c r="D30" s="324">
        <v>12</v>
      </c>
      <c r="E30" s="324">
        <v>12</v>
      </c>
      <c r="F30" s="324">
        <v>12</v>
      </c>
      <c r="G30" s="324">
        <v>12</v>
      </c>
      <c r="H30" s="324">
        <v>12</v>
      </c>
      <c r="I30" s="324">
        <v>12</v>
      </c>
      <c r="J30" s="324">
        <v>12</v>
      </c>
      <c r="K30" s="324">
        <v>12</v>
      </c>
      <c r="L30" s="324">
        <v>12</v>
      </c>
      <c r="M30" s="324">
        <v>12</v>
      </c>
      <c r="N30" s="324">
        <v>12</v>
      </c>
    </row>
    <row r="31" spans="1:14" ht="10.5">
      <c r="A31" s="414" t="str">
        <f t="shared" si="7"/>
        <v>Qualidade</v>
      </c>
      <c r="B31" s="415"/>
      <c r="C31" s="416"/>
      <c r="D31" s="324">
        <v>12</v>
      </c>
      <c r="E31" s="324">
        <v>12</v>
      </c>
      <c r="F31" s="324">
        <v>12</v>
      </c>
      <c r="G31" s="324">
        <v>12</v>
      </c>
      <c r="H31" s="324">
        <v>12</v>
      </c>
      <c r="I31" s="324">
        <v>12</v>
      </c>
      <c r="J31" s="324">
        <v>12</v>
      </c>
      <c r="K31" s="324">
        <v>12</v>
      </c>
      <c r="L31" s="324">
        <v>12</v>
      </c>
      <c r="M31" s="324">
        <v>12</v>
      </c>
      <c r="N31" s="324">
        <v>12</v>
      </c>
    </row>
    <row r="32" spans="1:14" ht="10.5">
      <c r="A32" s="414" t="str">
        <f t="shared" si="7"/>
        <v>Manutenção</v>
      </c>
      <c r="B32" s="415"/>
      <c r="C32" s="416"/>
      <c r="D32" s="324">
        <v>12</v>
      </c>
      <c r="E32" s="324">
        <v>12</v>
      </c>
      <c r="F32" s="324">
        <v>12</v>
      </c>
      <c r="G32" s="324">
        <v>12</v>
      </c>
      <c r="H32" s="324">
        <v>12</v>
      </c>
      <c r="I32" s="324">
        <v>12</v>
      </c>
      <c r="J32" s="324">
        <v>12</v>
      </c>
      <c r="K32" s="324">
        <v>12</v>
      </c>
      <c r="L32" s="324">
        <v>12</v>
      </c>
      <c r="M32" s="324">
        <v>12</v>
      </c>
      <c r="N32" s="324">
        <v>12</v>
      </c>
    </row>
    <row r="33" spans="1:14" ht="10.5">
      <c r="A33" s="414" t="str">
        <f t="shared" si="7"/>
        <v>Aprovisionamento</v>
      </c>
      <c r="B33" s="415"/>
      <c r="C33" s="416"/>
      <c r="D33" s="324">
        <v>12</v>
      </c>
      <c r="E33" s="324">
        <v>12</v>
      </c>
      <c r="F33" s="324">
        <v>12</v>
      </c>
      <c r="G33" s="324">
        <v>12</v>
      </c>
      <c r="H33" s="324">
        <v>12</v>
      </c>
      <c r="I33" s="324">
        <v>12</v>
      </c>
      <c r="J33" s="324">
        <v>12</v>
      </c>
      <c r="K33" s="324">
        <v>12</v>
      </c>
      <c r="L33" s="324">
        <v>12</v>
      </c>
      <c r="M33" s="324">
        <v>12</v>
      </c>
      <c r="N33" s="324">
        <v>12</v>
      </c>
    </row>
    <row r="34" spans="1:14" ht="10.5">
      <c r="A34" s="414" t="str">
        <f t="shared" si="7"/>
        <v>Investigação e Desenvolvimento</v>
      </c>
      <c r="B34" s="415"/>
      <c r="C34" s="416"/>
      <c r="D34" s="324">
        <v>12</v>
      </c>
      <c r="E34" s="324">
        <v>12</v>
      </c>
      <c r="F34" s="324">
        <v>12</v>
      </c>
      <c r="G34" s="324">
        <v>12</v>
      </c>
      <c r="H34" s="324">
        <v>12</v>
      </c>
      <c r="I34" s="324">
        <v>12</v>
      </c>
      <c r="J34" s="324">
        <v>12</v>
      </c>
      <c r="K34" s="324">
        <v>12</v>
      </c>
      <c r="L34" s="324">
        <v>12</v>
      </c>
      <c r="M34" s="324">
        <v>12</v>
      </c>
      <c r="N34" s="324">
        <v>12</v>
      </c>
    </row>
    <row r="35" spans="1:14" ht="10.5">
      <c r="A35" s="414" t="str">
        <f t="shared" si="7"/>
        <v>Outros</v>
      </c>
      <c r="B35" s="415"/>
      <c r="C35" s="416"/>
      <c r="D35" s="324">
        <v>12</v>
      </c>
      <c r="E35" s="324">
        <v>12</v>
      </c>
      <c r="F35" s="324">
        <v>12</v>
      </c>
      <c r="G35" s="324">
        <v>12</v>
      </c>
      <c r="H35" s="324">
        <v>12</v>
      </c>
      <c r="I35" s="324">
        <v>12</v>
      </c>
      <c r="J35" s="324">
        <v>12</v>
      </c>
      <c r="K35" s="324">
        <v>12</v>
      </c>
      <c r="L35" s="324">
        <v>12</v>
      </c>
      <c r="M35" s="324">
        <v>12</v>
      </c>
      <c r="N35" s="324">
        <v>12</v>
      </c>
    </row>
    <row r="36" spans="1:14" ht="10.5">
      <c r="A36" s="414">
        <f t="shared" si="7"/>
        <v>0</v>
      </c>
      <c r="B36" s="415"/>
      <c r="C36" s="4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0.5">
      <c r="A37" s="414">
        <f t="shared" si="7"/>
        <v>0</v>
      </c>
      <c r="B37" s="415"/>
      <c r="C37" s="416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1:14" ht="10.5">
      <c r="A38" s="80"/>
      <c r="B38" s="80"/>
      <c r="C38" s="8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0.5">
      <c r="A39" s="80"/>
      <c r="B39" s="80"/>
      <c r="C39" s="8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1.25">
      <c r="A40" s="578" t="s">
        <v>270</v>
      </c>
      <c r="B40" s="579"/>
      <c r="C40" s="580"/>
      <c r="D40" s="40">
        <f aca="true" t="shared" si="8" ref="D40:N40">+D11</f>
        <v>2021</v>
      </c>
      <c r="E40" s="40">
        <f t="shared" si="8"/>
        <v>2022</v>
      </c>
      <c r="F40" s="40">
        <f aca="true" t="shared" si="9" ref="F40:K40">+F11</f>
        <v>2023</v>
      </c>
      <c r="G40" s="40">
        <f t="shared" si="9"/>
        <v>2024</v>
      </c>
      <c r="H40" s="40">
        <f t="shared" si="9"/>
        <v>2025</v>
      </c>
      <c r="I40" s="40">
        <f t="shared" si="9"/>
        <v>2026</v>
      </c>
      <c r="J40" s="40">
        <f t="shared" si="9"/>
        <v>2027</v>
      </c>
      <c r="K40" s="40">
        <f t="shared" si="9"/>
        <v>2028</v>
      </c>
      <c r="L40" s="40">
        <f t="shared" si="8"/>
        <v>2029</v>
      </c>
      <c r="M40" s="40">
        <f t="shared" si="8"/>
        <v>2030</v>
      </c>
      <c r="N40" s="40">
        <f t="shared" si="8"/>
        <v>2031</v>
      </c>
    </row>
    <row r="41" spans="1:14" ht="10.5">
      <c r="A41" s="82" t="str">
        <f aca="true" t="shared" si="10" ref="A41:A51">+A12</f>
        <v>Administração / Direção</v>
      </c>
      <c r="B41" s="74"/>
      <c r="C41" s="75"/>
      <c r="D41" s="29">
        <v>4118</v>
      </c>
      <c r="E41" s="420">
        <f>+ROUND(D41*(1+E8),2)</f>
        <v>4118</v>
      </c>
      <c r="F41" s="420">
        <f aca="true" t="shared" si="11" ref="F41:K41">+ROUND(E41*(1+F8),2)</f>
        <v>4118</v>
      </c>
      <c r="G41" s="420">
        <f t="shared" si="11"/>
        <v>4118</v>
      </c>
      <c r="H41" s="420">
        <f t="shared" si="11"/>
        <v>4118</v>
      </c>
      <c r="I41" s="420">
        <f t="shared" si="11"/>
        <v>4118</v>
      </c>
      <c r="J41" s="420">
        <f t="shared" si="11"/>
        <v>4118</v>
      </c>
      <c r="K41" s="420">
        <f t="shared" si="11"/>
        <v>4118</v>
      </c>
      <c r="L41" s="420">
        <f>+ROUND(K41*(1+L8),2)</f>
        <v>4118</v>
      </c>
      <c r="M41" s="420">
        <f>+ROUND(L41*(1+M8),2)</f>
        <v>4118</v>
      </c>
      <c r="N41" s="420">
        <f>+ROUND(M41*(1+N8),2)</f>
        <v>4118</v>
      </c>
    </row>
    <row r="42" spans="1:14" ht="10.5">
      <c r="A42" s="82" t="str">
        <f t="shared" si="10"/>
        <v>Administrativa / Financeira</v>
      </c>
      <c r="B42" s="74"/>
      <c r="C42" s="75"/>
      <c r="D42" s="29">
        <v>1711</v>
      </c>
      <c r="E42" s="420">
        <f>+ROUND(D42*(1+E8),2)</f>
        <v>1711</v>
      </c>
      <c r="F42" s="420">
        <f aca="true" t="shared" si="12" ref="F42:K42">+ROUND(E42*(1+F8),2)</f>
        <v>1711</v>
      </c>
      <c r="G42" s="420">
        <f t="shared" si="12"/>
        <v>1711</v>
      </c>
      <c r="H42" s="420">
        <f t="shared" si="12"/>
        <v>1711</v>
      </c>
      <c r="I42" s="420">
        <f t="shared" si="12"/>
        <v>1711</v>
      </c>
      <c r="J42" s="420">
        <f t="shared" si="12"/>
        <v>1711</v>
      </c>
      <c r="K42" s="420">
        <f t="shared" si="12"/>
        <v>1711</v>
      </c>
      <c r="L42" s="420">
        <f>+ROUND(K42*(1+L8),2)</f>
        <v>1711</v>
      </c>
      <c r="M42" s="420">
        <f>+ROUND(L42*(1+M8),2)</f>
        <v>1711</v>
      </c>
      <c r="N42" s="420">
        <f>+ROUND(M42*(1+N8),2)</f>
        <v>1711</v>
      </c>
    </row>
    <row r="43" spans="1:14" ht="10.5">
      <c r="A43" s="82" t="str">
        <f t="shared" si="10"/>
        <v>Comercial / Marketing</v>
      </c>
      <c r="B43" s="74"/>
      <c r="C43" s="75"/>
      <c r="D43" s="29">
        <v>1711</v>
      </c>
      <c r="E43" s="420">
        <f>+ROUND(D43*(1+E8),2)</f>
        <v>1711</v>
      </c>
      <c r="F43" s="420">
        <f aca="true" t="shared" si="13" ref="F43:K43">+ROUND(E43*(1+F8),2)</f>
        <v>1711</v>
      </c>
      <c r="G43" s="420">
        <f t="shared" si="13"/>
        <v>1711</v>
      </c>
      <c r="H43" s="420">
        <f t="shared" si="13"/>
        <v>1711</v>
      </c>
      <c r="I43" s="420">
        <f t="shared" si="13"/>
        <v>1711</v>
      </c>
      <c r="J43" s="420">
        <f t="shared" si="13"/>
        <v>1711</v>
      </c>
      <c r="K43" s="420">
        <f t="shared" si="13"/>
        <v>1711</v>
      </c>
      <c r="L43" s="420">
        <f>+ROUND(K43*(1+L8),2)</f>
        <v>1711</v>
      </c>
      <c r="M43" s="420">
        <f>+ROUND(L43*(1+M8),2)</f>
        <v>1711</v>
      </c>
      <c r="N43" s="420">
        <f>+ROUND(M43*(1+N8),2)</f>
        <v>1711</v>
      </c>
    </row>
    <row r="44" spans="1:14" ht="10.5">
      <c r="A44" s="82" t="str">
        <f t="shared" si="10"/>
        <v>Produção / Operacional</v>
      </c>
      <c r="B44" s="74"/>
      <c r="C44" s="75"/>
      <c r="D44" s="29">
        <v>1711</v>
      </c>
      <c r="E44" s="420">
        <f>+ROUND(D44*(1+E8),2)</f>
        <v>1711</v>
      </c>
      <c r="F44" s="420">
        <f aca="true" t="shared" si="14" ref="F44:K44">+ROUND(E44*(1+F8),2)</f>
        <v>1711</v>
      </c>
      <c r="G44" s="420">
        <f t="shared" si="14"/>
        <v>1711</v>
      </c>
      <c r="H44" s="420">
        <f t="shared" si="14"/>
        <v>1711</v>
      </c>
      <c r="I44" s="420">
        <f t="shared" si="14"/>
        <v>1711</v>
      </c>
      <c r="J44" s="420">
        <f t="shared" si="14"/>
        <v>1711</v>
      </c>
      <c r="K44" s="420">
        <f t="shared" si="14"/>
        <v>1711</v>
      </c>
      <c r="L44" s="420">
        <f>+ROUND(K44*(1+L8),2)</f>
        <v>1711</v>
      </c>
      <c r="M44" s="420">
        <f>+ROUND(L44*(1+M8),2)</f>
        <v>1711</v>
      </c>
      <c r="N44" s="420">
        <f>+ROUND(M44*(1+N8),2)</f>
        <v>1711</v>
      </c>
    </row>
    <row r="45" spans="1:14" ht="10.5">
      <c r="A45" s="82" t="str">
        <f t="shared" si="10"/>
        <v>Qualidade</v>
      </c>
      <c r="B45" s="74"/>
      <c r="C45" s="75"/>
      <c r="D45" s="29">
        <v>2767</v>
      </c>
      <c r="E45" s="420">
        <f>+ROUND(D45*(1+E8),2)</f>
        <v>2767</v>
      </c>
      <c r="F45" s="420">
        <f aca="true" t="shared" si="15" ref="F45:K45">+ROUND(E45*(1+F8),2)</f>
        <v>2767</v>
      </c>
      <c r="G45" s="420">
        <f t="shared" si="15"/>
        <v>2767</v>
      </c>
      <c r="H45" s="420">
        <f t="shared" si="15"/>
        <v>2767</v>
      </c>
      <c r="I45" s="420">
        <f t="shared" si="15"/>
        <v>2767</v>
      </c>
      <c r="J45" s="420">
        <f t="shared" si="15"/>
        <v>2767</v>
      </c>
      <c r="K45" s="420">
        <f t="shared" si="15"/>
        <v>2767</v>
      </c>
      <c r="L45" s="420">
        <f>+ROUND(K45*(1+L8),2)</f>
        <v>2767</v>
      </c>
      <c r="M45" s="420">
        <f>+ROUND(L45*(1+M8),2)</f>
        <v>2767</v>
      </c>
      <c r="N45" s="420">
        <f>+ROUND(M45*(1+N8),2)</f>
        <v>2767</v>
      </c>
    </row>
    <row r="46" spans="1:14" ht="10.5">
      <c r="A46" s="82" t="str">
        <f t="shared" si="10"/>
        <v>Manutenção</v>
      </c>
      <c r="B46" s="74"/>
      <c r="C46" s="75"/>
      <c r="D46" s="29">
        <v>1711</v>
      </c>
      <c r="E46" s="420">
        <f>+ROUND(D46*(1+E8),2)</f>
        <v>1711</v>
      </c>
      <c r="F46" s="420">
        <f aca="true" t="shared" si="16" ref="F46:K46">+ROUND(E46*(1+F8),2)</f>
        <v>1711</v>
      </c>
      <c r="G46" s="420">
        <f t="shared" si="16"/>
        <v>1711</v>
      </c>
      <c r="H46" s="420">
        <f t="shared" si="16"/>
        <v>1711</v>
      </c>
      <c r="I46" s="420">
        <f t="shared" si="16"/>
        <v>1711</v>
      </c>
      <c r="J46" s="420">
        <f t="shared" si="16"/>
        <v>1711</v>
      </c>
      <c r="K46" s="420">
        <f t="shared" si="16"/>
        <v>1711</v>
      </c>
      <c r="L46" s="420">
        <f>+ROUND(K46*(1+L8),2)</f>
        <v>1711</v>
      </c>
      <c r="M46" s="420">
        <f>+ROUND(L46*(1+M8),2)</f>
        <v>1711</v>
      </c>
      <c r="N46" s="420">
        <f>+ROUND(M46*(1+N8),2)</f>
        <v>1711</v>
      </c>
    </row>
    <row r="47" spans="1:14" ht="10.5">
      <c r="A47" s="82" t="str">
        <f t="shared" si="10"/>
        <v>Aprovisionamento</v>
      </c>
      <c r="B47" s="74"/>
      <c r="C47" s="75"/>
      <c r="D47" s="29">
        <v>1711</v>
      </c>
      <c r="E47" s="420">
        <f>+ROUND(D47*(1+E8),2)</f>
        <v>1711</v>
      </c>
      <c r="F47" s="420">
        <f aca="true" t="shared" si="17" ref="F47:K47">+ROUND(E47*(1+F8),2)</f>
        <v>1711</v>
      </c>
      <c r="G47" s="420">
        <f t="shared" si="17"/>
        <v>1711</v>
      </c>
      <c r="H47" s="420">
        <f t="shared" si="17"/>
        <v>1711</v>
      </c>
      <c r="I47" s="420">
        <f t="shared" si="17"/>
        <v>1711</v>
      </c>
      <c r="J47" s="420">
        <f t="shared" si="17"/>
        <v>1711</v>
      </c>
      <c r="K47" s="420">
        <f t="shared" si="17"/>
        <v>1711</v>
      </c>
      <c r="L47" s="420">
        <f>+ROUND(K47*(1+L8),2)</f>
        <v>1711</v>
      </c>
      <c r="M47" s="420">
        <f>+ROUND(L47*(1+M8),2)</f>
        <v>1711</v>
      </c>
      <c r="N47" s="420">
        <f>+ROUND(M47*(1+N8),2)</f>
        <v>1711</v>
      </c>
    </row>
    <row r="48" spans="1:14" ht="10.5">
      <c r="A48" s="82" t="str">
        <f t="shared" si="10"/>
        <v>Investigação e Desenvolvimento</v>
      </c>
      <c r="B48" s="74"/>
      <c r="C48" s="75"/>
      <c r="D48" s="29">
        <v>4118</v>
      </c>
      <c r="E48" s="420">
        <f>+ROUND(D48*(1+E8),2)</f>
        <v>4118</v>
      </c>
      <c r="F48" s="420">
        <f aca="true" t="shared" si="18" ref="F48:K48">+ROUND(E48*(1+F8),2)</f>
        <v>4118</v>
      </c>
      <c r="G48" s="420">
        <f t="shared" si="18"/>
        <v>4118</v>
      </c>
      <c r="H48" s="420">
        <f t="shared" si="18"/>
        <v>4118</v>
      </c>
      <c r="I48" s="420">
        <f t="shared" si="18"/>
        <v>4118</v>
      </c>
      <c r="J48" s="420">
        <f t="shared" si="18"/>
        <v>4118</v>
      </c>
      <c r="K48" s="420">
        <f t="shared" si="18"/>
        <v>4118</v>
      </c>
      <c r="L48" s="420">
        <f>+ROUND(K48*(1+L8),2)</f>
        <v>4118</v>
      </c>
      <c r="M48" s="420">
        <f>+ROUND(L48*(1+M8),2)</f>
        <v>4118</v>
      </c>
      <c r="N48" s="420">
        <f>+ROUND(M48*(1+N8),2)</f>
        <v>4118</v>
      </c>
    </row>
    <row r="49" spans="1:14" ht="10.5">
      <c r="A49" s="82" t="str">
        <f t="shared" si="10"/>
        <v>Outros</v>
      </c>
      <c r="B49" s="74"/>
      <c r="C49" s="75"/>
      <c r="D49" s="29">
        <v>1711</v>
      </c>
      <c r="E49" s="420">
        <f>+ROUND(D49*(1+E8),2)</f>
        <v>1711</v>
      </c>
      <c r="F49" s="420">
        <f aca="true" t="shared" si="19" ref="F49:K49">+ROUND(E49*(1+F8),2)</f>
        <v>1711</v>
      </c>
      <c r="G49" s="420">
        <f t="shared" si="19"/>
        <v>1711</v>
      </c>
      <c r="H49" s="420">
        <f t="shared" si="19"/>
        <v>1711</v>
      </c>
      <c r="I49" s="420">
        <f t="shared" si="19"/>
        <v>1711</v>
      </c>
      <c r="J49" s="420">
        <f t="shared" si="19"/>
        <v>1711</v>
      </c>
      <c r="K49" s="420">
        <f t="shared" si="19"/>
        <v>1711</v>
      </c>
      <c r="L49" s="420">
        <f>+ROUND(K49*(1+L8),2)</f>
        <v>1711</v>
      </c>
      <c r="M49" s="420">
        <f>+ROUND(L49*(1+M8),2)</f>
        <v>1711</v>
      </c>
      <c r="N49" s="420">
        <f>+ROUND(M49*(1+N8),2)</f>
        <v>1711</v>
      </c>
    </row>
    <row r="50" spans="1:14" ht="10.5">
      <c r="A50" s="82">
        <f t="shared" si="10"/>
        <v>0</v>
      </c>
      <c r="B50" s="85"/>
      <c r="C50" s="86"/>
      <c r="D50" s="30"/>
      <c r="E50" s="420">
        <f>+ROUND(D50*(1+E8),2)</f>
        <v>0</v>
      </c>
      <c r="F50" s="420">
        <f aca="true" t="shared" si="20" ref="F50:K50">+ROUND(E50*(1+F8),2)</f>
        <v>0</v>
      </c>
      <c r="G50" s="420">
        <f t="shared" si="20"/>
        <v>0</v>
      </c>
      <c r="H50" s="420">
        <f t="shared" si="20"/>
        <v>0</v>
      </c>
      <c r="I50" s="420">
        <f t="shared" si="20"/>
        <v>0</v>
      </c>
      <c r="J50" s="420">
        <f t="shared" si="20"/>
        <v>0</v>
      </c>
      <c r="K50" s="420">
        <f t="shared" si="20"/>
        <v>0</v>
      </c>
      <c r="L50" s="420">
        <f>+ROUND(K50*(1+L8),2)</f>
        <v>0</v>
      </c>
      <c r="M50" s="420">
        <f>+ROUND(L50*(1+M8),2)</f>
        <v>0</v>
      </c>
      <c r="N50" s="420">
        <f>+ROUND(M50*(1+N8),2)</f>
        <v>0</v>
      </c>
    </row>
    <row r="51" spans="1:14" ht="10.5">
      <c r="A51" s="82">
        <f t="shared" si="10"/>
        <v>0</v>
      </c>
      <c r="B51" s="85"/>
      <c r="C51" s="86"/>
      <c r="D51" s="29"/>
      <c r="E51" s="420">
        <f>+ROUND(D51*(1+E8),2)</f>
        <v>0</v>
      </c>
      <c r="F51" s="420">
        <f aca="true" t="shared" si="21" ref="F51:K51">+ROUND(E51*(1+F8),2)</f>
        <v>0</v>
      </c>
      <c r="G51" s="420">
        <f t="shared" si="21"/>
        <v>0</v>
      </c>
      <c r="H51" s="420">
        <f t="shared" si="21"/>
        <v>0</v>
      </c>
      <c r="I51" s="420">
        <f t="shared" si="21"/>
        <v>0</v>
      </c>
      <c r="J51" s="420">
        <f t="shared" si="21"/>
        <v>0</v>
      </c>
      <c r="K51" s="420">
        <f t="shared" si="21"/>
        <v>0</v>
      </c>
      <c r="L51" s="420">
        <f>+ROUND(K51*(1+L8),2)</f>
        <v>0</v>
      </c>
      <c r="M51" s="420">
        <f>+ROUND(L51*(1+M8),2)</f>
        <v>0</v>
      </c>
      <c r="N51" s="420">
        <f>+ROUND(M51*(1+N8),2)</f>
        <v>0</v>
      </c>
    </row>
    <row r="52" spans="1:14" ht="10.5">
      <c r="A52" s="87"/>
      <c r="B52" s="88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ht="10.5">
      <c r="A53" s="87"/>
      <c r="B53" s="88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ht="11.25">
      <c r="A54" s="578" t="s">
        <v>271</v>
      </c>
      <c r="B54" s="579"/>
      <c r="C54" s="580"/>
      <c r="D54" s="40">
        <f aca="true" t="shared" si="22" ref="D54:N54">+D40</f>
        <v>2021</v>
      </c>
      <c r="E54" s="40">
        <f t="shared" si="22"/>
        <v>2022</v>
      </c>
      <c r="F54" s="40">
        <f aca="true" t="shared" si="23" ref="F54:K54">+F40</f>
        <v>2023</v>
      </c>
      <c r="G54" s="40">
        <f t="shared" si="23"/>
        <v>2024</v>
      </c>
      <c r="H54" s="40">
        <f t="shared" si="23"/>
        <v>2025</v>
      </c>
      <c r="I54" s="40">
        <f t="shared" si="23"/>
        <v>2026</v>
      </c>
      <c r="J54" s="40">
        <f t="shared" si="23"/>
        <v>2027</v>
      </c>
      <c r="K54" s="40">
        <f t="shared" si="23"/>
        <v>2028</v>
      </c>
      <c r="L54" s="40">
        <f t="shared" si="22"/>
        <v>2029</v>
      </c>
      <c r="M54" s="40">
        <f t="shared" si="22"/>
        <v>2030</v>
      </c>
      <c r="N54" s="40">
        <f t="shared" si="22"/>
        <v>2031</v>
      </c>
    </row>
    <row r="55" spans="1:14" ht="10.5">
      <c r="A55" s="82" t="str">
        <f>+A41</f>
        <v>Administração / Direção</v>
      </c>
      <c r="B55" s="74"/>
      <c r="C55" s="75"/>
      <c r="D55" s="91">
        <f aca="true" t="shared" si="24" ref="D55:D65">+D12*D27/12*D41*$D$7</f>
        <v>115304</v>
      </c>
      <c r="E55" s="91">
        <f aca="true" t="shared" si="25" ref="E55:K65">+E12*E27/12*E41*$E$7</f>
        <v>115304</v>
      </c>
      <c r="F55" s="91">
        <f t="shared" si="25"/>
        <v>115304</v>
      </c>
      <c r="G55" s="91">
        <f t="shared" si="25"/>
        <v>115304</v>
      </c>
      <c r="H55" s="91">
        <f t="shared" si="25"/>
        <v>115304</v>
      </c>
      <c r="I55" s="91">
        <f t="shared" si="25"/>
        <v>115304</v>
      </c>
      <c r="J55" s="91">
        <f t="shared" si="25"/>
        <v>115304</v>
      </c>
      <c r="K55" s="91">
        <f t="shared" si="25"/>
        <v>115304</v>
      </c>
      <c r="L55" s="91">
        <f aca="true" t="shared" si="26" ref="L55:L65">+L12*L27/12*L41*$L$7</f>
        <v>115304</v>
      </c>
      <c r="M55" s="91">
        <f aca="true" t="shared" si="27" ref="M55:M65">+M12*M27/12*M41*$M$7</f>
        <v>115304</v>
      </c>
      <c r="N55" s="91">
        <f aca="true" t="shared" si="28" ref="N55:N65">+N12*N27/12*N41*$N$7</f>
        <v>115304</v>
      </c>
    </row>
    <row r="56" spans="1:14" ht="10.5">
      <c r="A56" s="82" t="str">
        <f aca="true" t="shared" si="29" ref="A56:A65">+A42</f>
        <v>Administrativa / Financeira</v>
      </c>
      <c r="B56" s="74"/>
      <c r="C56" s="75"/>
      <c r="D56" s="91">
        <f t="shared" si="24"/>
        <v>71862</v>
      </c>
      <c r="E56" s="91">
        <f t="shared" si="25"/>
        <v>71862</v>
      </c>
      <c r="F56" s="91">
        <f t="shared" si="25"/>
        <v>71862</v>
      </c>
      <c r="G56" s="91">
        <f t="shared" si="25"/>
        <v>71862</v>
      </c>
      <c r="H56" s="91">
        <f t="shared" si="25"/>
        <v>71862</v>
      </c>
      <c r="I56" s="91">
        <f t="shared" si="25"/>
        <v>71862</v>
      </c>
      <c r="J56" s="91">
        <f t="shared" si="25"/>
        <v>71862</v>
      </c>
      <c r="K56" s="91">
        <f t="shared" si="25"/>
        <v>71862</v>
      </c>
      <c r="L56" s="91">
        <f t="shared" si="26"/>
        <v>71862</v>
      </c>
      <c r="M56" s="91">
        <f t="shared" si="27"/>
        <v>71862</v>
      </c>
      <c r="N56" s="91">
        <f t="shared" si="28"/>
        <v>71862</v>
      </c>
    </row>
    <row r="57" spans="1:14" ht="10.5">
      <c r="A57" s="82" t="str">
        <f t="shared" si="29"/>
        <v>Comercial / Marketing</v>
      </c>
      <c r="B57" s="74"/>
      <c r="C57" s="75"/>
      <c r="D57" s="91">
        <f t="shared" si="24"/>
        <v>71862</v>
      </c>
      <c r="E57" s="91">
        <f t="shared" si="25"/>
        <v>191632</v>
      </c>
      <c r="F57" s="91">
        <f t="shared" si="25"/>
        <v>191632</v>
      </c>
      <c r="G57" s="91">
        <f t="shared" si="25"/>
        <v>191632</v>
      </c>
      <c r="H57" s="91">
        <f t="shared" si="25"/>
        <v>191632</v>
      </c>
      <c r="I57" s="91">
        <f t="shared" si="25"/>
        <v>191632</v>
      </c>
      <c r="J57" s="91">
        <f t="shared" si="25"/>
        <v>191632</v>
      </c>
      <c r="K57" s="91">
        <f t="shared" si="25"/>
        <v>191632</v>
      </c>
      <c r="L57" s="91">
        <f t="shared" si="26"/>
        <v>191632</v>
      </c>
      <c r="M57" s="91">
        <f t="shared" si="27"/>
        <v>191632</v>
      </c>
      <c r="N57" s="91">
        <f t="shared" si="28"/>
        <v>191632</v>
      </c>
    </row>
    <row r="58" spans="1:14" ht="10.5">
      <c r="A58" s="82" t="str">
        <f t="shared" si="29"/>
        <v>Produção / Operacional</v>
      </c>
      <c r="B58" s="74"/>
      <c r="C58" s="75"/>
      <c r="D58" s="91">
        <f t="shared" si="24"/>
        <v>71862</v>
      </c>
      <c r="E58" s="91">
        <f t="shared" si="25"/>
        <v>119770</v>
      </c>
      <c r="F58" s="91">
        <f t="shared" si="25"/>
        <v>167678</v>
      </c>
      <c r="G58" s="91">
        <f t="shared" si="25"/>
        <v>167678</v>
      </c>
      <c r="H58" s="91">
        <f t="shared" si="25"/>
        <v>167678</v>
      </c>
      <c r="I58" s="91">
        <f t="shared" si="25"/>
        <v>167678</v>
      </c>
      <c r="J58" s="91">
        <f t="shared" si="25"/>
        <v>167678</v>
      </c>
      <c r="K58" s="91">
        <f t="shared" si="25"/>
        <v>167678</v>
      </c>
      <c r="L58" s="91">
        <f t="shared" si="26"/>
        <v>167678</v>
      </c>
      <c r="M58" s="91">
        <f t="shared" si="27"/>
        <v>167678</v>
      </c>
      <c r="N58" s="91">
        <f t="shared" si="28"/>
        <v>167678</v>
      </c>
    </row>
    <row r="59" spans="1:14" ht="10.5">
      <c r="A59" s="82" t="str">
        <f t="shared" si="29"/>
        <v>Qualidade</v>
      </c>
      <c r="B59" s="74"/>
      <c r="C59" s="75"/>
      <c r="D59" s="91">
        <f t="shared" si="24"/>
        <v>38738</v>
      </c>
      <c r="E59" s="91">
        <f t="shared" si="25"/>
        <v>154952</v>
      </c>
      <c r="F59" s="91">
        <f t="shared" si="25"/>
        <v>154952</v>
      </c>
      <c r="G59" s="91">
        <f t="shared" si="25"/>
        <v>154952</v>
      </c>
      <c r="H59" s="91">
        <f t="shared" si="25"/>
        <v>154952</v>
      </c>
      <c r="I59" s="91">
        <f t="shared" si="25"/>
        <v>154952</v>
      </c>
      <c r="J59" s="91">
        <f t="shared" si="25"/>
        <v>154952</v>
      </c>
      <c r="K59" s="91">
        <f t="shared" si="25"/>
        <v>154952</v>
      </c>
      <c r="L59" s="91">
        <f t="shared" si="26"/>
        <v>154952</v>
      </c>
      <c r="M59" s="91">
        <f t="shared" si="27"/>
        <v>154952</v>
      </c>
      <c r="N59" s="91">
        <f t="shared" si="28"/>
        <v>154952</v>
      </c>
    </row>
    <row r="60" spans="1:14" ht="10.5">
      <c r="A60" s="82" t="str">
        <f t="shared" si="29"/>
        <v>Manutenção</v>
      </c>
      <c r="B60" s="74"/>
      <c r="C60" s="75"/>
      <c r="D60" s="91">
        <f t="shared" si="24"/>
        <v>0</v>
      </c>
      <c r="E60" s="91">
        <f t="shared" si="25"/>
        <v>47908</v>
      </c>
      <c r="F60" s="91">
        <f t="shared" si="25"/>
        <v>95816</v>
      </c>
      <c r="G60" s="91">
        <f t="shared" si="25"/>
        <v>95816</v>
      </c>
      <c r="H60" s="91">
        <f t="shared" si="25"/>
        <v>95816</v>
      </c>
      <c r="I60" s="91">
        <f t="shared" si="25"/>
        <v>95816</v>
      </c>
      <c r="J60" s="91">
        <f t="shared" si="25"/>
        <v>95816</v>
      </c>
      <c r="K60" s="91">
        <f t="shared" si="25"/>
        <v>95816</v>
      </c>
      <c r="L60" s="91">
        <f t="shared" si="26"/>
        <v>95816</v>
      </c>
      <c r="M60" s="91">
        <f t="shared" si="27"/>
        <v>95816</v>
      </c>
      <c r="N60" s="91">
        <f t="shared" si="28"/>
        <v>95816</v>
      </c>
    </row>
    <row r="61" spans="1:14" ht="10.5">
      <c r="A61" s="82" t="str">
        <f t="shared" si="29"/>
        <v>Aprovisionamento</v>
      </c>
      <c r="B61" s="74"/>
      <c r="C61" s="75"/>
      <c r="D61" s="91">
        <f t="shared" si="24"/>
        <v>23954</v>
      </c>
      <c r="E61" s="91">
        <f t="shared" si="25"/>
        <v>47908</v>
      </c>
      <c r="F61" s="91">
        <f t="shared" si="25"/>
        <v>71862</v>
      </c>
      <c r="G61" s="91">
        <f t="shared" si="25"/>
        <v>71862</v>
      </c>
      <c r="H61" s="91">
        <f t="shared" si="25"/>
        <v>71862</v>
      </c>
      <c r="I61" s="91">
        <f t="shared" si="25"/>
        <v>71862</v>
      </c>
      <c r="J61" s="91">
        <f t="shared" si="25"/>
        <v>71862</v>
      </c>
      <c r="K61" s="91">
        <f t="shared" si="25"/>
        <v>71862</v>
      </c>
      <c r="L61" s="91">
        <f t="shared" si="26"/>
        <v>71862</v>
      </c>
      <c r="M61" s="91">
        <f t="shared" si="27"/>
        <v>71862</v>
      </c>
      <c r="N61" s="91">
        <f t="shared" si="28"/>
        <v>71862</v>
      </c>
    </row>
    <row r="62" spans="1:14" ht="10.5">
      <c r="A62" s="82" t="str">
        <f t="shared" si="29"/>
        <v>Investigação e Desenvolvimento</v>
      </c>
      <c r="B62" s="74"/>
      <c r="C62" s="75"/>
      <c r="D62" s="91">
        <f t="shared" si="24"/>
        <v>57652</v>
      </c>
      <c r="E62" s="91">
        <f t="shared" si="25"/>
        <v>115304</v>
      </c>
      <c r="F62" s="91">
        <f t="shared" si="25"/>
        <v>230608</v>
      </c>
      <c r="G62" s="91">
        <f t="shared" si="25"/>
        <v>230608</v>
      </c>
      <c r="H62" s="91">
        <f t="shared" si="25"/>
        <v>230608</v>
      </c>
      <c r="I62" s="91">
        <f t="shared" si="25"/>
        <v>230608</v>
      </c>
      <c r="J62" s="91">
        <f t="shared" si="25"/>
        <v>230608</v>
      </c>
      <c r="K62" s="91">
        <f t="shared" si="25"/>
        <v>230608</v>
      </c>
      <c r="L62" s="91">
        <f t="shared" si="26"/>
        <v>230608</v>
      </c>
      <c r="M62" s="91">
        <f t="shared" si="27"/>
        <v>230608</v>
      </c>
      <c r="N62" s="91">
        <f t="shared" si="28"/>
        <v>230608</v>
      </c>
    </row>
    <row r="63" spans="1:14" ht="10.5">
      <c r="A63" s="82" t="str">
        <f t="shared" si="29"/>
        <v>Outros</v>
      </c>
      <c r="B63" s="74"/>
      <c r="C63" s="75"/>
      <c r="D63" s="91">
        <f t="shared" si="24"/>
        <v>47908</v>
      </c>
      <c r="E63" s="91">
        <f t="shared" si="25"/>
        <v>167678</v>
      </c>
      <c r="F63" s="91">
        <f t="shared" si="25"/>
        <v>335356</v>
      </c>
      <c r="G63" s="91">
        <f t="shared" si="25"/>
        <v>335356</v>
      </c>
      <c r="H63" s="91">
        <f t="shared" si="25"/>
        <v>335356</v>
      </c>
      <c r="I63" s="91">
        <f t="shared" si="25"/>
        <v>335356</v>
      </c>
      <c r="J63" s="91">
        <f t="shared" si="25"/>
        <v>335356</v>
      </c>
      <c r="K63" s="91">
        <f t="shared" si="25"/>
        <v>335356</v>
      </c>
      <c r="L63" s="91">
        <f t="shared" si="26"/>
        <v>335356</v>
      </c>
      <c r="M63" s="91">
        <f t="shared" si="27"/>
        <v>335356</v>
      </c>
      <c r="N63" s="91">
        <f t="shared" si="28"/>
        <v>335356</v>
      </c>
    </row>
    <row r="64" spans="1:14" ht="10.5">
      <c r="A64" s="82">
        <f t="shared" si="29"/>
        <v>0</v>
      </c>
      <c r="B64" s="85"/>
      <c r="C64" s="86"/>
      <c r="D64" s="91">
        <f t="shared" si="24"/>
        <v>0</v>
      </c>
      <c r="E64" s="91">
        <f t="shared" si="25"/>
        <v>0</v>
      </c>
      <c r="F64" s="91">
        <f t="shared" si="25"/>
        <v>0</v>
      </c>
      <c r="G64" s="91">
        <f t="shared" si="25"/>
        <v>0</v>
      </c>
      <c r="H64" s="91">
        <f t="shared" si="25"/>
        <v>0</v>
      </c>
      <c r="I64" s="91">
        <f t="shared" si="25"/>
        <v>0</v>
      </c>
      <c r="J64" s="91">
        <f t="shared" si="25"/>
        <v>0</v>
      </c>
      <c r="K64" s="91">
        <f t="shared" si="25"/>
        <v>0</v>
      </c>
      <c r="L64" s="91">
        <f t="shared" si="26"/>
        <v>0</v>
      </c>
      <c r="M64" s="91">
        <f t="shared" si="27"/>
        <v>0</v>
      </c>
      <c r="N64" s="91">
        <f t="shared" si="28"/>
        <v>0</v>
      </c>
    </row>
    <row r="65" spans="1:14" ht="10.5">
      <c r="A65" s="82">
        <f t="shared" si="29"/>
        <v>0</v>
      </c>
      <c r="B65" s="85"/>
      <c r="C65" s="86"/>
      <c r="D65" s="91">
        <f t="shared" si="24"/>
        <v>0</v>
      </c>
      <c r="E65" s="91">
        <f t="shared" si="25"/>
        <v>0</v>
      </c>
      <c r="F65" s="91">
        <f t="shared" si="25"/>
        <v>0</v>
      </c>
      <c r="G65" s="91">
        <f t="shared" si="25"/>
        <v>0</v>
      </c>
      <c r="H65" s="91">
        <f t="shared" si="25"/>
        <v>0</v>
      </c>
      <c r="I65" s="91">
        <f t="shared" si="25"/>
        <v>0</v>
      </c>
      <c r="J65" s="91">
        <f t="shared" si="25"/>
        <v>0</v>
      </c>
      <c r="K65" s="91">
        <f t="shared" si="25"/>
        <v>0</v>
      </c>
      <c r="L65" s="91">
        <f t="shared" si="26"/>
        <v>0</v>
      </c>
      <c r="M65" s="91">
        <f t="shared" si="27"/>
        <v>0</v>
      </c>
      <c r="N65" s="91">
        <f t="shared" si="28"/>
        <v>0</v>
      </c>
    </row>
    <row r="66" spans="1:14" ht="10.5" thickBot="1">
      <c r="A66" s="571" t="s">
        <v>30</v>
      </c>
      <c r="B66" s="572"/>
      <c r="C66" s="573"/>
      <c r="D66" s="92">
        <f aca="true" t="shared" si="30" ref="D66:N66">+SUM(D55:D65)</f>
        <v>499142</v>
      </c>
      <c r="E66" s="92">
        <f t="shared" si="30"/>
        <v>1032318</v>
      </c>
      <c r="F66" s="92">
        <f aca="true" t="shared" si="31" ref="F66:K66">+SUM(F55:F65)</f>
        <v>1435070</v>
      </c>
      <c r="G66" s="92">
        <f t="shared" si="31"/>
        <v>1435070</v>
      </c>
      <c r="H66" s="92">
        <f t="shared" si="31"/>
        <v>1435070</v>
      </c>
      <c r="I66" s="92">
        <f t="shared" si="31"/>
        <v>1435070</v>
      </c>
      <c r="J66" s="92">
        <f t="shared" si="31"/>
        <v>1435070</v>
      </c>
      <c r="K66" s="92">
        <f t="shared" si="31"/>
        <v>1435070</v>
      </c>
      <c r="L66" s="92">
        <f t="shared" si="30"/>
        <v>1435070</v>
      </c>
      <c r="M66" s="92">
        <f t="shared" si="30"/>
        <v>1435070</v>
      </c>
      <c r="N66" s="92">
        <f t="shared" si="30"/>
        <v>1435070</v>
      </c>
    </row>
    <row r="67" spans="1:14" ht="10.5" thickTop="1">
      <c r="A67" s="87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ht="10.5">
      <c r="A68" s="43"/>
      <c r="B68" s="43"/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ht="11.25">
      <c r="A69" s="578" t="s">
        <v>190</v>
      </c>
      <c r="B69" s="579"/>
      <c r="C69" s="580"/>
      <c r="D69" s="40">
        <f aca="true" t="shared" si="32" ref="D69:N69">+D6</f>
        <v>2021</v>
      </c>
      <c r="E69" s="40">
        <f t="shared" si="32"/>
        <v>2022</v>
      </c>
      <c r="F69" s="40">
        <f aca="true" t="shared" si="33" ref="F69:K69">+F6</f>
        <v>2023</v>
      </c>
      <c r="G69" s="40">
        <f t="shared" si="33"/>
        <v>2024</v>
      </c>
      <c r="H69" s="40">
        <f t="shared" si="33"/>
        <v>2025</v>
      </c>
      <c r="I69" s="40">
        <f t="shared" si="33"/>
        <v>2026</v>
      </c>
      <c r="J69" s="40">
        <f t="shared" si="33"/>
        <v>2027</v>
      </c>
      <c r="K69" s="40">
        <f t="shared" si="33"/>
        <v>2028</v>
      </c>
      <c r="L69" s="40">
        <f t="shared" si="32"/>
        <v>2029</v>
      </c>
      <c r="M69" s="40">
        <f t="shared" si="32"/>
        <v>2030</v>
      </c>
      <c r="N69" s="40">
        <f t="shared" si="32"/>
        <v>2031</v>
      </c>
    </row>
    <row r="70" spans="1:14" ht="10.5">
      <c r="A70" s="95" t="s">
        <v>58</v>
      </c>
      <c r="B70" s="96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0.5">
      <c r="A71" s="44" t="s">
        <v>189</v>
      </c>
      <c r="B71" s="97"/>
      <c r="C71" s="98">
        <f>+Pressupostos!B24</f>
        <v>0.2375</v>
      </c>
      <c r="D71" s="99">
        <f aca="true" t="shared" si="34" ref="D71:N71">$C$71*(D55+D77)</f>
        <v>27384.699999999997</v>
      </c>
      <c r="E71" s="99">
        <f t="shared" si="34"/>
        <v>27384.699999999997</v>
      </c>
      <c r="F71" s="99">
        <f aca="true" t="shared" si="35" ref="F71:K71">$C$71*(F55+F77)</f>
        <v>27384.699999999997</v>
      </c>
      <c r="G71" s="99">
        <f t="shared" si="35"/>
        <v>27384.699999999997</v>
      </c>
      <c r="H71" s="99">
        <f t="shared" si="35"/>
        <v>27384.699999999997</v>
      </c>
      <c r="I71" s="99">
        <f t="shared" si="35"/>
        <v>27384.699999999997</v>
      </c>
      <c r="J71" s="99">
        <f t="shared" si="35"/>
        <v>27384.699999999997</v>
      </c>
      <c r="K71" s="99">
        <f t="shared" si="35"/>
        <v>27384.699999999997</v>
      </c>
      <c r="L71" s="99">
        <f t="shared" si="34"/>
        <v>27384.699999999997</v>
      </c>
      <c r="M71" s="99">
        <f t="shared" si="34"/>
        <v>27384.699999999997</v>
      </c>
      <c r="N71" s="99">
        <f t="shared" si="34"/>
        <v>27384.699999999997</v>
      </c>
    </row>
    <row r="72" spans="1:14" ht="10.5">
      <c r="A72" s="44" t="s">
        <v>25</v>
      </c>
      <c r="B72" s="97"/>
      <c r="C72" s="98">
        <f>+Pressupostos!B25</f>
        <v>0.2375</v>
      </c>
      <c r="D72" s="99">
        <f aca="true" t="shared" si="36" ref="D72:N72">+$C$72*(SUM(D56:D65)+D78)</f>
        <v>91161.525</v>
      </c>
      <c r="E72" s="99">
        <f t="shared" si="36"/>
        <v>217790.82499999998</v>
      </c>
      <c r="F72" s="99">
        <f aca="true" t="shared" si="37" ref="F72:K72">+$C$72*(SUM(F56:F65)+F78)</f>
        <v>313444.425</v>
      </c>
      <c r="G72" s="99">
        <f t="shared" si="37"/>
        <v>313444.425</v>
      </c>
      <c r="H72" s="99">
        <f t="shared" si="37"/>
        <v>313444.425</v>
      </c>
      <c r="I72" s="99">
        <f t="shared" si="37"/>
        <v>313444.425</v>
      </c>
      <c r="J72" s="99">
        <f t="shared" si="37"/>
        <v>313444.425</v>
      </c>
      <c r="K72" s="99">
        <f t="shared" si="37"/>
        <v>313444.425</v>
      </c>
      <c r="L72" s="99">
        <f t="shared" si="36"/>
        <v>313444.425</v>
      </c>
      <c r="M72" s="99">
        <f t="shared" si="36"/>
        <v>313444.425</v>
      </c>
      <c r="N72" s="99">
        <f t="shared" si="36"/>
        <v>313444.425</v>
      </c>
    </row>
    <row r="73" spans="1:14" ht="10.5">
      <c r="A73" s="100" t="s">
        <v>272</v>
      </c>
      <c r="B73" s="101"/>
      <c r="C73" s="417"/>
      <c r="D73" s="102">
        <f aca="true" t="shared" si="38" ref="D73:N73">+$C$73*D66</f>
        <v>0</v>
      </c>
      <c r="E73" s="102">
        <f t="shared" si="38"/>
        <v>0</v>
      </c>
      <c r="F73" s="102">
        <f aca="true" t="shared" si="39" ref="F73:K73">+$C$73*F66</f>
        <v>0</v>
      </c>
      <c r="G73" s="102">
        <f t="shared" si="39"/>
        <v>0</v>
      </c>
      <c r="H73" s="102">
        <f t="shared" si="39"/>
        <v>0</v>
      </c>
      <c r="I73" s="102">
        <f t="shared" si="39"/>
        <v>0</v>
      </c>
      <c r="J73" s="102">
        <f t="shared" si="39"/>
        <v>0</v>
      </c>
      <c r="K73" s="102">
        <f t="shared" si="39"/>
        <v>0</v>
      </c>
      <c r="L73" s="102">
        <f t="shared" si="38"/>
        <v>0</v>
      </c>
      <c r="M73" s="102">
        <f t="shared" si="38"/>
        <v>0</v>
      </c>
      <c r="N73" s="102">
        <f t="shared" si="38"/>
        <v>0</v>
      </c>
    </row>
    <row r="74" spans="1:14" ht="10.5">
      <c r="A74" s="100" t="s">
        <v>273</v>
      </c>
      <c r="B74" s="101"/>
      <c r="C74" s="418">
        <v>167.86</v>
      </c>
      <c r="D74" s="102">
        <f aca="true" t="shared" si="40" ref="D74:N74">+$C$74*D75*D23</f>
        <v>2685.76</v>
      </c>
      <c r="E74" s="102">
        <f t="shared" si="40"/>
        <v>64626.1</v>
      </c>
      <c r="F74" s="102">
        <f aca="true" t="shared" si="41" ref="F74:K74">+$C$74*F75*F23</f>
        <v>90476.54000000001</v>
      </c>
      <c r="G74" s="102">
        <f t="shared" si="41"/>
        <v>90476.54000000001</v>
      </c>
      <c r="H74" s="102">
        <f t="shared" si="41"/>
        <v>90476.54000000001</v>
      </c>
      <c r="I74" s="102">
        <f t="shared" si="41"/>
        <v>90476.54000000001</v>
      </c>
      <c r="J74" s="102">
        <f t="shared" si="41"/>
        <v>90476.54000000001</v>
      </c>
      <c r="K74" s="102">
        <f t="shared" si="41"/>
        <v>90476.54000000001</v>
      </c>
      <c r="L74" s="102">
        <f t="shared" si="40"/>
        <v>90476.54000000001</v>
      </c>
      <c r="M74" s="102">
        <f t="shared" si="40"/>
        <v>90476.54000000001</v>
      </c>
      <c r="N74" s="102">
        <f t="shared" si="40"/>
        <v>90476.54000000001</v>
      </c>
    </row>
    <row r="75" spans="1:14" ht="10.5">
      <c r="A75" s="323" t="s">
        <v>274</v>
      </c>
      <c r="B75" s="118"/>
      <c r="C75" s="60"/>
      <c r="D75" s="419">
        <v>1</v>
      </c>
      <c r="E75" s="419">
        <v>11</v>
      </c>
      <c r="F75" s="419">
        <v>11</v>
      </c>
      <c r="G75" s="419">
        <v>11</v>
      </c>
      <c r="H75" s="419">
        <v>11</v>
      </c>
      <c r="I75" s="419">
        <v>11</v>
      </c>
      <c r="J75" s="419">
        <v>11</v>
      </c>
      <c r="K75" s="419">
        <v>11</v>
      </c>
      <c r="L75" s="419">
        <v>11</v>
      </c>
      <c r="M75" s="419">
        <v>11</v>
      </c>
      <c r="N75" s="419">
        <v>11</v>
      </c>
    </row>
    <row r="76" spans="1:14" ht="10.5">
      <c r="A76" s="100" t="s">
        <v>275</v>
      </c>
      <c r="B76" s="118"/>
      <c r="C76" s="60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0.5">
      <c r="A77" s="44" t="s">
        <v>189</v>
      </c>
      <c r="B77" s="97"/>
      <c r="C77" s="27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</row>
    <row r="78" spans="1:14" ht="10.5">
      <c r="A78" s="44" t="s">
        <v>25</v>
      </c>
      <c r="B78" s="97"/>
      <c r="C78" s="27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</row>
    <row r="79" spans="1:14" ht="10.5">
      <c r="A79" s="103" t="s">
        <v>29</v>
      </c>
      <c r="B79" s="103"/>
      <c r="C79" s="10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0.5">
      <c r="A80" s="105" t="s">
        <v>276</v>
      </c>
      <c r="B80" s="86"/>
      <c r="C80" s="106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4.25" customHeight="1" thickBot="1">
      <c r="A81" s="575" t="s">
        <v>191</v>
      </c>
      <c r="B81" s="576"/>
      <c r="C81" s="577"/>
      <c r="D81" s="25">
        <f aca="true" t="shared" si="42" ref="D81:N81">+D71+D72+D73+D74+D77+D78+D79+D80</f>
        <v>121231.98499999999</v>
      </c>
      <c r="E81" s="25">
        <f t="shared" si="42"/>
        <v>309801.62499999994</v>
      </c>
      <c r="F81" s="25">
        <f aca="true" t="shared" si="43" ref="F81:K81">+F71+F72+F73+F74+F77+F78+F79+F80</f>
        <v>431305.66500000004</v>
      </c>
      <c r="G81" s="25">
        <f t="shared" si="43"/>
        <v>431305.66500000004</v>
      </c>
      <c r="H81" s="25">
        <f t="shared" si="43"/>
        <v>431305.66500000004</v>
      </c>
      <c r="I81" s="25">
        <f t="shared" si="43"/>
        <v>431305.66500000004</v>
      </c>
      <c r="J81" s="25">
        <f t="shared" si="43"/>
        <v>431305.66500000004</v>
      </c>
      <c r="K81" s="25">
        <f t="shared" si="43"/>
        <v>431305.66500000004</v>
      </c>
      <c r="L81" s="25">
        <f t="shared" si="42"/>
        <v>431305.66500000004</v>
      </c>
      <c r="M81" s="25">
        <f t="shared" si="42"/>
        <v>431305.66500000004</v>
      </c>
      <c r="N81" s="25">
        <f t="shared" si="42"/>
        <v>431305.66500000004</v>
      </c>
    </row>
    <row r="82" spans="1:14" ht="10.5" thickTop="1">
      <c r="A82" s="88"/>
      <c r="B82" s="88"/>
      <c r="C82" s="107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10.5" thickBot="1">
      <c r="A83" s="575" t="s">
        <v>192</v>
      </c>
      <c r="B83" s="576"/>
      <c r="C83" s="577"/>
      <c r="D83" s="25">
        <f aca="true" t="shared" si="44" ref="D83:N83">D66+D81</f>
        <v>620373.985</v>
      </c>
      <c r="E83" s="25">
        <f t="shared" si="44"/>
        <v>1342119.625</v>
      </c>
      <c r="F83" s="25">
        <f aca="true" t="shared" si="45" ref="F83:K83">F66+F81</f>
        <v>1866375.665</v>
      </c>
      <c r="G83" s="25">
        <f t="shared" si="45"/>
        <v>1866375.665</v>
      </c>
      <c r="H83" s="25">
        <f t="shared" si="45"/>
        <v>1866375.665</v>
      </c>
      <c r="I83" s="25">
        <f t="shared" si="45"/>
        <v>1866375.665</v>
      </c>
      <c r="J83" s="25">
        <f t="shared" si="45"/>
        <v>1866375.665</v>
      </c>
      <c r="K83" s="25">
        <f t="shared" si="45"/>
        <v>1866375.665</v>
      </c>
      <c r="L83" s="25">
        <f t="shared" si="44"/>
        <v>1866375.665</v>
      </c>
      <c r="M83" s="25">
        <f t="shared" si="44"/>
        <v>1866375.665</v>
      </c>
      <c r="N83" s="25">
        <f t="shared" si="44"/>
        <v>1866375.665</v>
      </c>
    </row>
    <row r="84" spans="1:14" ht="10.5" thickTop="1">
      <c r="A84" s="88"/>
      <c r="B84" s="88"/>
      <c r="C84" s="10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ht="10.5">
      <c r="A85" s="88"/>
      <c r="B85" s="88"/>
      <c r="C85" s="107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1:14" ht="10.5">
      <c r="A86" s="584" t="s">
        <v>59</v>
      </c>
      <c r="B86" s="585"/>
      <c r="C86" s="586"/>
      <c r="D86" s="40">
        <f aca="true" t="shared" si="46" ref="D86:N86">+D6</f>
        <v>2021</v>
      </c>
      <c r="E86" s="40">
        <f t="shared" si="46"/>
        <v>2022</v>
      </c>
      <c r="F86" s="40">
        <f aca="true" t="shared" si="47" ref="F86:K86">+F6</f>
        <v>2023</v>
      </c>
      <c r="G86" s="40">
        <f t="shared" si="47"/>
        <v>2024</v>
      </c>
      <c r="H86" s="40">
        <f t="shared" si="47"/>
        <v>2025</v>
      </c>
      <c r="I86" s="40">
        <f t="shared" si="47"/>
        <v>2026</v>
      </c>
      <c r="J86" s="40">
        <f t="shared" si="47"/>
        <v>2027</v>
      </c>
      <c r="K86" s="40">
        <f t="shared" si="47"/>
        <v>2028</v>
      </c>
      <c r="L86" s="40">
        <f t="shared" si="46"/>
        <v>2029</v>
      </c>
      <c r="M86" s="40">
        <f t="shared" si="46"/>
        <v>2030</v>
      </c>
      <c r="N86" s="40">
        <f t="shared" si="46"/>
        <v>2031</v>
      </c>
    </row>
    <row r="87" spans="1:14" ht="10.5">
      <c r="A87" s="464" t="s">
        <v>188</v>
      </c>
      <c r="B87" s="465"/>
      <c r="C87" s="46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0.5">
      <c r="A88" s="44" t="s">
        <v>189</v>
      </c>
      <c r="B88" s="109"/>
      <c r="C88" s="106"/>
      <c r="D88" s="99">
        <f aca="true" t="shared" si="48" ref="D88:N88">D55+D77</f>
        <v>115304</v>
      </c>
      <c r="E88" s="99">
        <f t="shared" si="48"/>
        <v>115304</v>
      </c>
      <c r="F88" s="99">
        <f aca="true" t="shared" si="49" ref="F88:K88">F55+F77</f>
        <v>115304</v>
      </c>
      <c r="G88" s="99">
        <f t="shared" si="49"/>
        <v>115304</v>
      </c>
      <c r="H88" s="99">
        <f t="shared" si="49"/>
        <v>115304</v>
      </c>
      <c r="I88" s="99">
        <f t="shared" si="49"/>
        <v>115304</v>
      </c>
      <c r="J88" s="99">
        <f t="shared" si="49"/>
        <v>115304</v>
      </c>
      <c r="K88" s="99">
        <f t="shared" si="49"/>
        <v>115304</v>
      </c>
      <c r="L88" s="99">
        <f t="shared" si="48"/>
        <v>115304</v>
      </c>
      <c r="M88" s="99">
        <f t="shared" si="48"/>
        <v>115304</v>
      </c>
      <c r="N88" s="99">
        <f t="shared" si="48"/>
        <v>115304</v>
      </c>
    </row>
    <row r="89" spans="1:14" ht="10.5">
      <c r="A89" s="44" t="s">
        <v>25</v>
      </c>
      <c r="B89" s="109"/>
      <c r="C89" s="106"/>
      <c r="D89" s="99">
        <f aca="true" t="shared" si="50" ref="D89:N89">+SUM(D56:D65)+D78</f>
        <v>383838</v>
      </c>
      <c r="E89" s="99">
        <f t="shared" si="50"/>
        <v>917014</v>
      </c>
      <c r="F89" s="99">
        <f aca="true" t="shared" si="51" ref="F89:K89">+SUM(F56:F65)+F78</f>
        <v>1319766</v>
      </c>
      <c r="G89" s="99">
        <f t="shared" si="51"/>
        <v>1319766</v>
      </c>
      <c r="H89" s="99">
        <f t="shared" si="51"/>
        <v>1319766</v>
      </c>
      <c r="I89" s="99">
        <f t="shared" si="51"/>
        <v>1319766</v>
      </c>
      <c r="J89" s="99">
        <f t="shared" si="51"/>
        <v>1319766</v>
      </c>
      <c r="K89" s="99">
        <f t="shared" si="51"/>
        <v>1319766</v>
      </c>
      <c r="L89" s="99">
        <f t="shared" si="50"/>
        <v>1319766</v>
      </c>
      <c r="M89" s="99">
        <f t="shared" si="50"/>
        <v>1319766</v>
      </c>
      <c r="N89" s="99">
        <f t="shared" si="50"/>
        <v>1319766</v>
      </c>
    </row>
    <row r="90" spans="1:14" ht="10.5">
      <c r="A90" s="108" t="s">
        <v>277</v>
      </c>
      <c r="B90" s="75"/>
      <c r="C90" s="106"/>
      <c r="D90" s="99">
        <f aca="true" t="shared" si="52" ref="D90:N90">+D71+D72</f>
        <v>118546.22499999999</v>
      </c>
      <c r="E90" s="99">
        <f t="shared" si="52"/>
        <v>245175.52499999997</v>
      </c>
      <c r="F90" s="99">
        <f aca="true" t="shared" si="53" ref="F90:K90">+F71+F72</f>
        <v>340829.125</v>
      </c>
      <c r="G90" s="99">
        <f t="shared" si="53"/>
        <v>340829.125</v>
      </c>
      <c r="H90" s="99">
        <f t="shared" si="53"/>
        <v>340829.125</v>
      </c>
      <c r="I90" s="99">
        <f t="shared" si="53"/>
        <v>340829.125</v>
      </c>
      <c r="J90" s="99">
        <f t="shared" si="53"/>
        <v>340829.125</v>
      </c>
      <c r="K90" s="99">
        <f t="shared" si="53"/>
        <v>340829.125</v>
      </c>
      <c r="L90" s="99">
        <f t="shared" si="52"/>
        <v>340829.125</v>
      </c>
      <c r="M90" s="99">
        <f t="shared" si="52"/>
        <v>340829.125</v>
      </c>
      <c r="N90" s="99">
        <f t="shared" si="52"/>
        <v>340829.125</v>
      </c>
    </row>
    <row r="91" spans="1:14" ht="10.5">
      <c r="A91" s="100" t="s">
        <v>278</v>
      </c>
      <c r="B91" s="75"/>
      <c r="C91" s="106"/>
      <c r="D91" s="99">
        <f aca="true" t="shared" si="54" ref="D91:N91">+D73</f>
        <v>0</v>
      </c>
      <c r="E91" s="99">
        <f t="shared" si="54"/>
        <v>0</v>
      </c>
      <c r="F91" s="99">
        <f aca="true" t="shared" si="55" ref="F91:K91">+F73</f>
        <v>0</v>
      </c>
      <c r="G91" s="99">
        <f t="shared" si="55"/>
        <v>0</v>
      </c>
      <c r="H91" s="99">
        <f t="shared" si="55"/>
        <v>0</v>
      </c>
      <c r="I91" s="99">
        <f t="shared" si="55"/>
        <v>0</v>
      </c>
      <c r="J91" s="99">
        <f t="shared" si="55"/>
        <v>0</v>
      </c>
      <c r="K91" s="99">
        <f t="shared" si="55"/>
        <v>0</v>
      </c>
      <c r="L91" s="99">
        <f t="shared" si="54"/>
        <v>0</v>
      </c>
      <c r="M91" s="99">
        <f t="shared" si="54"/>
        <v>0</v>
      </c>
      <c r="N91" s="99">
        <f t="shared" si="54"/>
        <v>0</v>
      </c>
    </row>
    <row r="92" spans="1:14" ht="10.5">
      <c r="A92" s="108" t="s">
        <v>279</v>
      </c>
      <c r="B92" s="75"/>
      <c r="C92" s="106"/>
      <c r="D92" s="99">
        <f aca="true" t="shared" si="56" ref="D92:N92">+D74</f>
        <v>2685.76</v>
      </c>
      <c r="E92" s="99">
        <f t="shared" si="56"/>
        <v>64626.1</v>
      </c>
      <c r="F92" s="99">
        <f aca="true" t="shared" si="57" ref="F92:K92">+F74</f>
        <v>90476.54000000001</v>
      </c>
      <c r="G92" s="99">
        <f t="shared" si="57"/>
        <v>90476.54000000001</v>
      </c>
      <c r="H92" s="99">
        <f t="shared" si="57"/>
        <v>90476.54000000001</v>
      </c>
      <c r="I92" s="99">
        <f t="shared" si="57"/>
        <v>90476.54000000001</v>
      </c>
      <c r="J92" s="99">
        <f t="shared" si="57"/>
        <v>90476.54000000001</v>
      </c>
      <c r="K92" s="99">
        <f t="shared" si="57"/>
        <v>90476.54000000001</v>
      </c>
      <c r="L92" s="99">
        <f t="shared" si="56"/>
        <v>90476.54000000001</v>
      </c>
      <c r="M92" s="99">
        <f t="shared" si="56"/>
        <v>90476.54000000001</v>
      </c>
      <c r="N92" s="99">
        <f t="shared" si="56"/>
        <v>90476.54000000001</v>
      </c>
    </row>
    <row r="93" spans="1:14" ht="10.5">
      <c r="A93" s="105" t="s">
        <v>280</v>
      </c>
      <c r="B93" s="86"/>
      <c r="C93" s="110"/>
      <c r="D93" s="298">
        <f aca="true" t="shared" si="58" ref="D93:N93">+D79+D80</f>
        <v>0</v>
      </c>
      <c r="E93" s="298">
        <f t="shared" si="58"/>
        <v>0</v>
      </c>
      <c r="F93" s="298">
        <f aca="true" t="shared" si="59" ref="F93:K93">+F79+F80</f>
        <v>0</v>
      </c>
      <c r="G93" s="298">
        <f t="shared" si="59"/>
        <v>0</v>
      </c>
      <c r="H93" s="298">
        <f t="shared" si="59"/>
        <v>0</v>
      </c>
      <c r="I93" s="298">
        <f t="shared" si="59"/>
        <v>0</v>
      </c>
      <c r="J93" s="298">
        <f t="shared" si="59"/>
        <v>0</v>
      </c>
      <c r="K93" s="298">
        <f t="shared" si="59"/>
        <v>0</v>
      </c>
      <c r="L93" s="298">
        <f t="shared" si="58"/>
        <v>0</v>
      </c>
      <c r="M93" s="298">
        <f t="shared" si="58"/>
        <v>0</v>
      </c>
      <c r="N93" s="298">
        <f t="shared" si="58"/>
        <v>0</v>
      </c>
    </row>
    <row r="94" spans="1:14" ht="10.5" thickBot="1">
      <c r="A94" s="575" t="s">
        <v>192</v>
      </c>
      <c r="B94" s="576"/>
      <c r="C94" s="577"/>
      <c r="D94" s="25">
        <f aca="true" t="shared" si="60" ref="D94:N94">SUM(D88:D93)</f>
        <v>620373.985</v>
      </c>
      <c r="E94" s="25">
        <f t="shared" si="60"/>
        <v>1342119.625</v>
      </c>
      <c r="F94" s="25">
        <f aca="true" t="shared" si="61" ref="F94:K94">SUM(F88:F93)</f>
        <v>1866375.665</v>
      </c>
      <c r="G94" s="25">
        <f t="shared" si="61"/>
        <v>1866375.665</v>
      </c>
      <c r="H94" s="25">
        <f t="shared" si="61"/>
        <v>1866375.665</v>
      </c>
      <c r="I94" s="25">
        <f t="shared" si="61"/>
        <v>1866375.665</v>
      </c>
      <c r="J94" s="25">
        <f t="shared" si="61"/>
        <v>1866375.665</v>
      </c>
      <c r="K94" s="25">
        <f t="shared" si="61"/>
        <v>1866375.665</v>
      </c>
      <c r="L94" s="25">
        <f t="shared" si="60"/>
        <v>1866375.665</v>
      </c>
      <c r="M94" s="25">
        <f t="shared" si="60"/>
        <v>1866375.665</v>
      </c>
      <c r="N94" s="25">
        <f t="shared" si="60"/>
        <v>1866375.665</v>
      </c>
    </row>
    <row r="95" spans="1:14" ht="10.5" thickTop="1">
      <c r="A95" s="111"/>
      <c r="B95" s="111"/>
      <c r="C95" s="111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1:14" ht="10.5">
      <c r="A96" s="88"/>
      <c r="B96" s="88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ht="11.25">
      <c r="A97" s="581" t="s">
        <v>106</v>
      </c>
      <c r="B97" s="582"/>
      <c r="C97" s="583"/>
      <c r="D97" s="40">
        <f aca="true" t="shared" si="62" ref="D97:N97">+D86</f>
        <v>2021</v>
      </c>
      <c r="E97" s="40">
        <f t="shared" si="62"/>
        <v>2022</v>
      </c>
      <c r="F97" s="40">
        <f aca="true" t="shared" si="63" ref="F97:K97">+F86</f>
        <v>2023</v>
      </c>
      <c r="G97" s="40">
        <f t="shared" si="63"/>
        <v>2024</v>
      </c>
      <c r="H97" s="40">
        <f t="shared" si="63"/>
        <v>2025</v>
      </c>
      <c r="I97" s="40">
        <f t="shared" si="63"/>
        <v>2026</v>
      </c>
      <c r="J97" s="40">
        <f t="shared" si="63"/>
        <v>2027</v>
      </c>
      <c r="K97" s="40">
        <f t="shared" si="63"/>
        <v>2028</v>
      </c>
      <c r="L97" s="40">
        <f t="shared" si="62"/>
        <v>2029</v>
      </c>
      <c r="M97" s="40">
        <f t="shared" si="62"/>
        <v>2030</v>
      </c>
      <c r="N97" s="40">
        <f t="shared" si="62"/>
        <v>2031</v>
      </c>
    </row>
    <row r="98" spans="1:14" ht="10.5">
      <c r="A98" s="108" t="s">
        <v>104</v>
      </c>
      <c r="B98" s="75"/>
      <c r="C98" s="98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ht="10.5">
      <c r="A99" s="44" t="s">
        <v>127</v>
      </c>
      <c r="B99" s="97"/>
      <c r="C99" s="98">
        <f>+Pressupostos!B26</f>
        <v>0.11</v>
      </c>
      <c r="D99" s="99">
        <f aca="true" t="shared" si="64" ref="D99:N99">+$C$99*D88</f>
        <v>12683.44</v>
      </c>
      <c r="E99" s="99">
        <f t="shared" si="64"/>
        <v>12683.44</v>
      </c>
      <c r="F99" s="99">
        <f aca="true" t="shared" si="65" ref="F99:K99">+$C$99*F88</f>
        <v>12683.44</v>
      </c>
      <c r="G99" s="99">
        <f t="shared" si="65"/>
        <v>12683.44</v>
      </c>
      <c r="H99" s="99">
        <f t="shared" si="65"/>
        <v>12683.44</v>
      </c>
      <c r="I99" s="99">
        <f t="shared" si="65"/>
        <v>12683.44</v>
      </c>
      <c r="J99" s="99">
        <f t="shared" si="65"/>
        <v>12683.44</v>
      </c>
      <c r="K99" s="99">
        <f t="shared" si="65"/>
        <v>12683.44</v>
      </c>
      <c r="L99" s="99">
        <f t="shared" si="64"/>
        <v>12683.44</v>
      </c>
      <c r="M99" s="99">
        <f t="shared" si="64"/>
        <v>12683.44</v>
      </c>
      <c r="N99" s="99">
        <f t="shared" si="64"/>
        <v>12683.44</v>
      </c>
    </row>
    <row r="100" spans="1:14" ht="10.5">
      <c r="A100" s="44" t="s">
        <v>103</v>
      </c>
      <c r="B100" s="97"/>
      <c r="C100" s="98">
        <f>+Pressupostos!B27</f>
        <v>0.11</v>
      </c>
      <c r="D100" s="99">
        <f aca="true" t="shared" si="66" ref="D100:N100">+$C$100*D89</f>
        <v>42222.18</v>
      </c>
      <c r="E100" s="99">
        <f t="shared" si="66"/>
        <v>100871.54</v>
      </c>
      <c r="F100" s="99">
        <f aca="true" t="shared" si="67" ref="F100:K100">+$C$100*F89</f>
        <v>145174.26</v>
      </c>
      <c r="G100" s="99">
        <f t="shared" si="67"/>
        <v>145174.26</v>
      </c>
      <c r="H100" s="99">
        <f t="shared" si="67"/>
        <v>145174.26</v>
      </c>
      <c r="I100" s="99">
        <f t="shared" si="67"/>
        <v>145174.26</v>
      </c>
      <c r="J100" s="99">
        <f t="shared" si="67"/>
        <v>145174.26</v>
      </c>
      <c r="K100" s="99">
        <f t="shared" si="67"/>
        <v>145174.26</v>
      </c>
      <c r="L100" s="99">
        <f t="shared" si="66"/>
        <v>145174.26</v>
      </c>
      <c r="M100" s="99">
        <f t="shared" si="66"/>
        <v>145174.26</v>
      </c>
      <c r="N100" s="99">
        <f t="shared" si="66"/>
        <v>145174.26</v>
      </c>
    </row>
    <row r="101" spans="1:14" ht="10.5">
      <c r="A101" s="108" t="s">
        <v>105</v>
      </c>
      <c r="B101" s="75"/>
      <c r="C101" s="98">
        <f>+Pressupostos!B28</f>
        <v>0.15</v>
      </c>
      <c r="D101" s="99">
        <f aca="true" t="shared" si="68" ref="D101:N101">+$C$101*(D88+D89)</f>
        <v>74871.3</v>
      </c>
      <c r="E101" s="99">
        <f t="shared" si="68"/>
        <v>154847.69999999998</v>
      </c>
      <c r="F101" s="99">
        <f aca="true" t="shared" si="69" ref="F101:K101">+$C$101*(F88+F89)</f>
        <v>215260.5</v>
      </c>
      <c r="G101" s="99">
        <f t="shared" si="69"/>
        <v>215260.5</v>
      </c>
      <c r="H101" s="99">
        <f t="shared" si="69"/>
        <v>215260.5</v>
      </c>
      <c r="I101" s="99">
        <f t="shared" si="69"/>
        <v>215260.5</v>
      </c>
      <c r="J101" s="99">
        <f t="shared" si="69"/>
        <v>215260.5</v>
      </c>
      <c r="K101" s="99">
        <f t="shared" si="69"/>
        <v>215260.5</v>
      </c>
      <c r="L101" s="99">
        <f t="shared" si="68"/>
        <v>215260.5</v>
      </c>
      <c r="M101" s="99">
        <f t="shared" si="68"/>
        <v>215260.5</v>
      </c>
      <c r="N101" s="99">
        <f t="shared" si="68"/>
        <v>215260.5</v>
      </c>
    </row>
    <row r="102" spans="1:14" ht="10.5" thickBot="1">
      <c r="A102" s="575" t="s">
        <v>107</v>
      </c>
      <c r="B102" s="576"/>
      <c r="C102" s="577"/>
      <c r="D102" s="25">
        <f aca="true" t="shared" si="70" ref="D102:N102">SUM(D99:D101)</f>
        <v>129776.92000000001</v>
      </c>
      <c r="E102" s="25">
        <f t="shared" si="70"/>
        <v>268402.68</v>
      </c>
      <c r="F102" s="25">
        <f aca="true" t="shared" si="71" ref="F102:K102">SUM(F99:F101)</f>
        <v>373118.2</v>
      </c>
      <c r="G102" s="25">
        <f t="shared" si="71"/>
        <v>373118.2</v>
      </c>
      <c r="H102" s="25">
        <f t="shared" si="71"/>
        <v>373118.2</v>
      </c>
      <c r="I102" s="25">
        <f t="shared" si="71"/>
        <v>373118.2</v>
      </c>
      <c r="J102" s="25">
        <f t="shared" si="71"/>
        <v>373118.2</v>
      </c>
      <c r="K102" s="25">
        <f t="shared" si="71"/>
        <v>373118.2</v>
      </c>
      <c r="L102" s="25">
        <f t="shared" si="70"/>
        <v>373118.2</v>
      </c>
      <c r="M102" s="25">
        <f t="shared" si="70"/>
        <v>373118.2</v>
      </c>
      <c r="N102" s="25">
        <f t="shared" si="70"/>
        <v>373118.2</v>
      </c>
    </row>
    <row r="103" spans="1:14" ht="10.5" thickTop="1">
      <c r="A103" s="58"/>
      <c r="B103" s="58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1:14" ht="10.5">
      <c r="A104" s="58"/>
      <c r="B104" s="58"/>
      <c r="C104" s="112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10.5">
      <c r="A105" s="114"/>
      <c r="B105" s="114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</sheetData>
  <sheetProtection password="8318" sheet="1"/>
  <mergeCells count="14">
    <mergeCell ref="A4:N4"/>
    <mergeCell ref="A102:C102"/>
    <mergeCell ref="A97:C97"/>
    <mergeCell ref="A94:C94"/>
    <mergeCell ref="A86:C86"/>
    <mergeCell ref="A81:C81"/>
    <mergeCell ref="A83:C83"/>
    <mergeCell ref="A11:C11"/>
    <mergeCell ref="A23:C23"/>
    <mergeCell ref="A40:C40"/>
    <mergeCell ref="A69:C69"/>
    <mergeCell ref="A54:C54"/>
    <mergeCell ref="A66:C66"/>
    <mergeCell ref="A26:C26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7"/>
  <sheetViews>
    <sheetView showGridLines="0" showZeros="0" zoomScalePageLayoutView="0" workbookViewId="0" topLeftCell="A1">
      <selection activeCell="A26" sqref="A26"/>
    </sheetView>
  </sheetViews>
  <sheetFormatPr defaultColWidth="9.140625" defaultRowHeight="12.75"/>
  <cols>
    <col min="1" max="1" width="26.7109375" style="51" customWidth="1"/>
    <col min="2" max="2" width="3.28125" style="51" customWidth="1"/>
    <col min="3" max="13" width="8.8515625" style="51" customWidth="1"/>
    <col min="14" max="18" width="11.421875" style="51" customWidth="1"/>
    <col min="19" max="16384" width="8.7109375" style="51" customWidth="1"/>
  </cols>
  <sheetData>
    <row r="1" spans="1:13" ht="12.75">
      <c r="A1" s="43"/>
      <c r="B1" s="43"/>
      <c r="C1" s="115"/>
      <c r="D1" s="115"/>
      <c r="E1" s="115"/>
      <c r="F1" s="115"/>
      <c r="G1" s="115"/>
      <c r="H1" s="115"/>
      <c r="I1" s="115"/>
      <c r="J1" s="115"/>
      <c r="K1" s="115"/>
      <c r="L1" s="421" t="s">
        <v>44</v>
      </c>
      <c r="M1" s="422" t="str">
        <f>+Pressupostos!E1</f>
        <v>JUPITER</v>
      </c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tr">
        <f>+Pressupostos!B9</f>
        <v>Euros</v>
      </c>
    </row>
    <row r="3" spans="1:13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8"/>
    </row>
    <row r="4" spans="1:13" ht="13.5" customHeight="1">
      <c r="A4" s="562" t="s">
        <v>118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</row>
    <row r="5" spans="1:13" ht="12.75" customHeight="1">
      <c r="A5" s="43"/>
      <c r="B5" s="116"/>
      <c r="C5" s="116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0.5">
      <c r="A6" s="43"/>
      <c r="B6" s="107"/>
      <c r="C6" s="116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>
      <c r="A7" s="108"/>
      <c r="B7" s="101"/>
      <c r="C7" s="40">
        <f>+VN!C8</f>
        <v>2021</v>
      </c>
      <c r="D7" s="40">
        <f>+VN!D8</f>
        <v>2022</v>
      </c>
      <c r="E7" s="40">
        <f>+VN!E8</f>
        <v>2023</v>
      </c>
      <c r="F7" s="40">
        <f>+VN!F8</f>
        <v>2024</v>
      </c>
      <c r="G7" s="40">
        <f>+VN!G8</f>
        <v>2025</v>
      </c>
      <c r="H7" s="40">
        <f>+VN!H8</f>
        <v>2026</v>
      </c>
      <c r="I7" s="40">
        <f>+VN!I8</f>
        <v>2027</v>
      </c>
      <c r="J7" s="40">
        <f>+VN!J8</f>
        <v>2028</v>
      </c>
      <c r="K7" s="40">
        <f>+VN!K8</f>
        <v>2029</v>
      </c>
      <c r="L7" s="40">
        <f>+VN!L8</f>
        <v>2030</v>
      </c>
      <c r="M7" s="40">
        <f>+VN!M8</f>
        <v>2031</v>
      </c>
    </row>
    <row r="8" spans="1:13" ht="10.5">
      <c r="A8" s="117" t="s">
        <v>60</v>
      </c>
      <c r="B8" s="118"/>
      <c r="C8" s="119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0.5">
      <c r="A9" s="44" t="s">
        <v>63</v>
      </c>
      <c r="B9" s="118"/>
      <c r="C9" s="6">
        <v>50000</v>
      </c>
      <c r="D9" s="84">
        <f>+C9</f>
        <v>50000</v>
      </c>
      <c r="E9" s="84">
        <f aca="true" t="shared" si="0" ref="E9:J9">+D9</f>
        <v>50000</v>
      </c>
      <c r="F9" s="84">
        <f t="shared" si="0"/>
        <v>50000</v>
      </c>
      <c r="G9" s="84">
        <f t="shared" si="0"/>
        <v>50000</v>
      </c>
      <c r="H9" s="84">
        <f t="shared" si="0"/>
        <v>50000</v>
      </c>
      <c r="I9" s="84">
        <f t="shared" si="0"/>
        <v>50000</v>
      </c>
      <c r="J9" s="84">
        <f t="shared" si="0"/>
        <v>50000</v>
      </c>
      <c r="K9" s="84">
        <f>+J9</f>
        <v>50000</v>
      </c>
      <c r="L9" s="84">
        <f>+K9</f>
        <v>50000</v>
      </c>
      <c r="M9" s="84">
        <f>+L9</f>
        <v>50000</v>
      </c>
    </row>
    <row r="10" spans="1:13" ht="10.5">
      <c r="A10" s="44" t="s">
        <v>32</v>
      </c>
      <c r="B10" s="118"/>
      <c r="C10" s="84">
        <f>VN!C84*Pressupostos!$C$13/12</f>
        <v>1373878.4999999998</v>
      </c>
      <c r="D10" s="84">
        <f>VN!D84*Pressupostos!$C$13/12</f>
        <v>2848201.355</v>
      </c>
      <c r="E10" s="84">
        <f>VN!E84*Pressupostos!$C$13/12</f>
        <v>5008823.7419</v>
      </c>
      <c r="F10" s="84">
        <f>VN!F84*Pressupostos!$C$13/12</f>
        <v>5896519.201366667</v>
      </c>
      <c r="G10" s="84">
        <f>VN!G84*Pressupostos!$C$13/12</f>
        <v>6197067.259866667</v>
      </c>
      <c r="H10" s="84">
        <f>VN!H84*Pressupostos!$C$13/12</f>
        <v>6563592.073433332</v>
      </c>
      <c r="I10" s="84">
        <f>VN!I84*Pressupostos!$C$13/12</f>
        <v>7016765.172066665</v>
      </c>
      <c r="J10" s="84">
        <f>VN!J84*Pressupostos!$C$13/12</f>
        <v>7571344.116733334</v>
      </c>
      <c r="K10" s="84">
        <f>VN!K84*Pressupostos!$C$13/12</f>
        <v>8244975.5159</v>
      </c>
      <c r="L10" s="84">
        <f>VN!L84*Pressupostos!$C$13/12</f>
        <v>9065892.165133333</v>
      </c>
      <c r="M10" s="84">
        <f>VN!M84*Pressupostos!$C$13/12</f>
        <v>10047572.600166667</v>
      </c>
    </row>
    <row r="11" spans="1:13" ht="10.5">
      <c r="A11" s="44" t="s">
        <v>175</v>
      </c>
      <c r="B11" s="118"/>
      <c r="C11" s="84">
        <f>CMVMC!C16*Pressupostos!$C$15/12</f>
        <v>106834.97499999996</v>
      </c>
      <c r="D11" s="84">
        <f>CMVMC!D16*Pressupostos!$C$15/12</f>
        <v>219905.36641666657</v>
      </c>
      <c r="E11" s="84">
        <f>CMVMC!E16*Pressupostos!$C$15/12</f>
        <v>406680.1971591665</v>
      </c>
      <c r="F11" s="84">
        <f>CMVMC!F16*Pressupostos!$C$15/12</f>
        <v>482844.57563874987</v>
      </c>
      <c r="G11" s="84">
        <f>CMVMC!G16*Pressupostos!$C$15/12</f>
        <v>506978.8210824998</v>
      </c>
      <c r="H11" s="84">
        <f>CMVMC!H16*Pressupostos!$C$15/12</f>
        <v>537389.1985474998</v>
      </c>
      <c r="I11" s="84">
        <f>CMVMC!I16*Pressupostos!$C$15/12</f>
        <v>574996.8624399998</v>
      </c>
      <c r="J11" s="84">
        <f>CMVMC!J16*Pressupostos!$C$15/12</f>
        <v>620993.1724587498</v>
      </c>
      <c r="K11" s="84">
        <f>CMVMC!K16*Pressupostos!$C$15/12</f>
        <v>676876.5397712499</v>
      </c>
      <c r="L11" s="84">
        <f>CMVMC!L16*Pressupostos!$C$15/12</f>
        <v>745017.0215258332</v>
      </c>
      <c r="M11" s="84">
        <f>CMVMC!M16*Pressupostos!$C$15/12</f>
        <v>826459.7332874998</v>
      </c>
    </row>
    <row r="12" spans="1:13" ht="10.5">
      <c r="A12" s="44" t="s">
        <v>33</v>
      </c>
      <c r="B12" s="118"/>
      <c r="C12" s="84">
        <f aca="true" t="shared" si="1" ref="C12:M12">IF(C30&lt;0,-C30,0)+IF(C31&lt;0,-C31,0)+IF(C32&lt;0,-C32,0)</f>
        <v>0</v>
      </c>
      <c r="D12" s="84">
        <f t="shared" si="1"/>
        <v>0</v>
      </c>
      <c r="E12" s="84">
        <f aca="true" t="shared" si="2" ref="E12:J12">IF(E30&lt;0,-E30,0)+IF(E31&lt;0,-E31,0)+IF(E32&lt;0,-E32,0)</f>
        <v>0</v>
      </c>
      <c r="F12" s="84">
        <f t="shared" si="2"/>
        <v>0</v>
      </c>
      <c r="G12" s="84">
        <f t="shared" si="2"/>
        <v>0</v>
      </c>
      <c r="H12" s="84">
        <f t="shared" si="2"/>
        <v>96092.5017242</v>
      </c>
      <c r="I12" s="84">
        <f t="shared" si="2"/>
        <v>0</v>
      </c>
      <c r="J12" s="84">
        <f t="shared" si="2"/>
        <v>0</v>
      </c>
      <c r="K12" s="84">
        <f t="shared" si="1"/>
        <v>0</v>
      </c>
      <c r="L12" s="84">
        <f t="shared" si="1"/>
        <v>0</v>
      </c>
      <c r="M12" s="84">
        <f t="shared" si="1"/>
        <v>122348.359417</v>
      </c>
    </row>
    <row r="13" spans="1:13" ht="10.5">
      <c r="A13" s="590" t="s">
        <v>108</v>
      </c>
      <c r="B13" s="59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0.5">
      <c r="A14" s="590" t="s">
        <v>108</v>
      </c>
      <c r="B14" s="59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0.5">
      <c r="A15" s="588" t="s">
        <v>30</v>
      </c>
      <c r="B15" s="589"/>
      <c r="C15" s="120">
        <f aca="true" t="shared" si="3" ref="C15:M15">SUM(C9:C14)</f>
        <v>1530713.4749999996</v>
      </c>
      <c r="D15" s="120">
        <f t="shared" si="3"/>
        <v>3118106.7214166666</v>
      </c>
      <c r="E15" s="120">
        <f aca="true" t="shared" si="4" ref="E15:J15">SUM(E9:E14)</f>
        <v>5465503.939059166</v>
      </c>
      <c r="F15" s="120">
        <f t="shared" si="4"/>
        <v>6429363.777005416</v>
      </c>
      <c r="G15" s="120">
        <f t="shared" si="4"/>
        <v>6754046.080949167</v>
      </c>
      <c r="H15" s="120">
        <f t="shared" si="4"/>
        <v>7247073.773705033</v>
      </c>
      <c r="I15" s="120">
        <f t="shared" si="4"/>
        <v>7641762.034506666</v>
      </c>
      <c r="J15" s="120">
        <f t="shared" si="4"/>
        <v>8242337.289192084</v>
      </c>
      <c r="K15" s="120">
        <f t="shared" si="3"/>
        <v>8971852.05567125</v>
      </c>
      <c r="L15" s="120">
        <f t="shared" si="3"/>
        <v>9860909.186659167</v>
      </c>
      <c r="M15" s="120">
        <f t="shared" si="3"/>
        <v>11046380.692871168</v>
      </c>
    </row>
    <row r="16" spans="1:13" ht="10.5">
      <c r="A16" s="121" t="s">
        <v>61</v>
      </c>
      <c r="B16" s="118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0.5">
      <c r="A17" s="44" t="s">
        <v>11</v>
      </c>
      <c r="B17" s="118"/>
      <c r="C17" s="84">
        <f>(CMVMC!C20+FSE!F53)*Pressupostos!$C$14/12</f>
        <v>220383.1364999999</v>
      </c>
      <c r="D17" s="84">
        <f>(CMVMC!D20+FSE!G53)*Pressupostos!$C$14/12</f>
        <v>453985.35580333316</v>
      </c>
      <c r="E17" s="84">
        <f>(CMVMC!E20+FSE!H53)*Pressupostos!$C$14/12</f>
        <v>827657.975977433</v>
      </c>
      <c r="F17" s="84">
        <f>(CMVMC!F20+FSE!I53)*Pressupostos!$C$14/12</f>
        <v>980155.5917357998</v>
      </c>
      <c r="G17" s="84">
        <f>(CMVMC!G20+FSE!J53)*Pressupostos!$C$14/12</f>
        <v>1028643.5320547996</v>
      </c>
      <c r="H17" s="84">
        <f>(CMVMC!H20+FSE!K53)*Pressupostos!$C$14/12</f>
        <v>1089740.8044363996</v>
      </c>
      <c r="I17" s="84">
        <f>(CMVMC!I20+FSE!L53)*Pressupostos!$C$14/12</f>
        <v>1165298.0936255998</v>
      </c>
      <c r="J17" s="84">
        <f>(CMVMC!J20+FSE!M53)*Pressupostos!$C$14/12</f>
        <v>1257708.9518925997</v>
      </c>
      <c r="K17" s="84">
        <f>(CMVMC!K20+FSE!N53)*Pressupostos!$C$14/12</f>
        <v>1369983.8264225996</v>
      </c>
      <c r="L17" s="84">
        <f>(CMVMC!L20+FSE!O53)*Pressupostos!$C$14/12</f>
        <v>1506880.2534518663</v>
      </c>
      <c r="M17" s="84">
        <f>(CMVMC!M20+FSE!P53)*Pressupostos!$C$14/12</f>
        <v>1670510.3532139994</v>
      </c>
    </row>
    <row r="18" spans="1:13" ht="10.5">
      <c r="A18" s="44" t="s">
        <v>33</v>
      </c>
      <c r="B18" s="118"/>
      <c r="C18" s="84">
        <f aca="true" t="shared" si="5" ref="C18:M18">IF(C30&gt;0,C30,0)+IF(C31&gt;0,C31,0)+IF(C32&gt;0,C32,0)</f>
        <v>68808.308</v>
      </c>
      <c r="D18" s="84">
        <f t="shared" si="5"/>
        <v>160990.35359</v>
      </c>
      <c r="E18" s="84">
        <f aca="true" t="shared" si="6" ref="E18:J18">IF(E30&gt;0,E30,0)+IF(E31&gt;0,E31,0)+IF(E32&gt;0,E32,0)</f>
        <v>181060.87322269997</v>
      </c>
      <c r="F18" s="84">
        <f t="shared" si="6"/>
        <v>201592.1452251</v>
      </c>
      <c r="G18" s="84">
        <f t="shared" si="6"/>
        <v>203728.59743060003</v>
      </c>
      <c r="H18" s="84">
        <f t="shared" si="6"/>
        <v>50996.2375</v>
      </c>
      <c r="I18" s="84">
        <f t="shared" si="6"/>
        <v>212591.14746319997</v>
      </c>
      <c r="J18" s="84">
        <f t="shared" si="6"/>
        <v>226690.89177469997</v>
      </c>
      <c r="K18" s="84">
        <f t="shared" si="5"/>
        <v>236173.9195597</v>
      </c>
      <c r="L18" s="84">
        <f t="shared" si="5"/>
        <v>255282.65169939992</v>
      </c>
      <c r="M18" s="84">
        <f t="shared" si="5"/>
        <v>50996.2375</v>
      </c>
    </row>
    <row r="19" spans="1:13" ht="10.5">
      <c r="A19" s="590" t="s">
        <v>108</v>
      </c>
      <c r="B19" s="59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0.5" thickBot="1">
      <c r="A20" s="571" t="s">
        <v>30</v>
      </c>
      <c r="B20" s="572"/>
      <c r="C20" s="124">
        <f aca="true" t="shared" si="7" ref="C20:M20">+SUM(C17:C19)</f>
        <v>289191.4444999999</v>
      </c>
      <c r="D20" s="124">
        <f t="shared" si="7"/>
        <v>614975.7093933332</v>
      </c>
      <c r="E20" s="124">
        <f aca="true" t="shared" si="8" ref="E20:J20">+SUM(E17:E19)</f>
        <v>1008718.849200133</v>
      </c>
      <c r="F20" s="124">
        <f t="shared" si="8"/>
        <v>1181747.7369608998</v>
      </c>
      <c r="G20" s="124">
        <f t="shared" si="8"/>
        <v>1232372.1294853997</v>
      </c>
      <c r="H20" s="124">
        <f t="shared" si="8"/>
        <v>1140737.0419363996</v>
      </c>
      <c r="I20" s="124">
        <f t="shared" si="8"/>
        <v>1377889.2410887997</v>
      </c>
      <c r="J20" s="124">
        <f t="shared" si="8"/>
        <v>1484399.8436672997</v>
      </c>
      <c r="K20" s="124">
        <f t="shared" si="7"/>
        <v>1606157.7459822996</v>
      </c>
      <c r="L20" s="124">
        <f t="shared" si="7"/>
        <v>1762162.9051512661</v>
      </c>
      <c r="M20" s="124">
        <f t="shared" si="7"/>
        <v>1721506.5907139995</v>
      </c>
    </row>
    <row r="21" spans="1:13" ht="10.5" thickTop="1">
      <c r="A21" s="125"/>
      <c r="B21" s="88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0.5" thickBot="1">
      <c r="A22" s="128" t="s">
        <v>128</v>
      </c>
      <c r="B22" s="129"/>
      <c r="C22" s="124">
        <f aca="true" t="shared" si="9" ref="C22:M22">+C15-C20</f>
        <v>1241522.0304999996</v>
      </c>
      <c r="D22" s="124">
        <f t="shared" si="9"/>
        <v>2503131.0120233335</v>
      </c>
      <c r="E22" s="124">
        <f aca="true" t="shared" si="10" ref="E22:J22">+E15-E20</f>
        <v>4456785.089859033</v>
      </c>
      <c r="F22" s="124">
        <f t="shared" si="10"/>
        <v>5247616.040044516</v>
      </c>
      <c r="G22" s="124">
        <f t="shared" si="10"/>
        <v>5521673.951463767</v>
      </c>
      <c r="H22" s="124">
        <f t="shared" si="10"/>
        <v>6106336.731768633</v>
      </c>
      <c r="I22" s="124">
        <f t="shared" si="10"/>
        <v>6263872.793417865</v>
      </c>
      <c r="J22" s="124">
        <f t="shared" si="10"/>
        <v>6757937.445524785</v>
      </c>
      <c r="K22" s="124">
        <f t="shared" si="9"/>
        <v>7365694.309688951</v>
      </c>
      <c r="L22" s="124">
        <f t="shared" si="9"/>
        <v>8098746.2815079</v>
      </c>
      <c r="M22" s="124">
        <f t="shared" si="9"/>
        <v>9324874.102157168</v>
      </c>
    </row>
    <row r="23" spans="1:13" ht="10.5" thickTop="1">
      <c r="A23" s="130"/>
      <c r="B23" s="131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10.5" thickBot="1">
      <c r="A24" s="128" t="s">
        <v>62</v>
      </c>
      <c r="B24" s="129"/>
      <c r="C24" s="124">
        <f>+C22</f>
        <v>1241522.0304999996</v>
      </c>
      <c r="D24" s="124">
        <f>+D22-C22</f>
        <v>1261608.9815233338</v>
      </c>
      <c r="E24" s="124">
        <f aca="true" t="shared" si="11" ref="E24:J24">+E22-D22</f>
        <v>1953654.0778356995</v>
      </c>
      <c r="F24" s="124">
        <f t="shared" si="11"/>
        <v>790830.9501854833</v>
      </c>
      <c r="G24" s="124">
        <f t="shared" si="11"/>
        <v>274057.911419251</v>
      </c>
      <c r="H24" s="124">
        <f t="shared" si="11"/>
        <v>584662.7803048659</v>
      </c>
      <c r="I24" s="124">
        <f t="shared" si="11"/>
        <v>157536.06164923217</v>
      </c>
      <c r="J24" s="124">
        <f t="shared" si="11"/>
        <v>494064.6521069193</v>
      </c>
      <c r="K24" s="124">
        <f>+K22-J22</f>
        <v>607756.8641641662</v>
      </c>
      <c r="L24" s="124">
        <f>+L22-K22</f>
        <v>733051.9718189491</v>
      </c>
      <c r="M24" s="124">
        <f>+M22-L22</f>
        <v>1226127.820649268</v>
      </c>
    </row>
    <row r="25" spans="1:13" ht="10.5" thickTop="1">
      <c r="A25" s="125"/>
      <c r="B25" s="88"/>
      <c r="C25" s="9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0.5">
      <c r="A26" s="132" t="s">
        <v>129</v>
      </c>
      <c r="B26" s="88"/>
      <c r="C26" s="9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0.5">
      <c r="A27" s="43"/>
      <c r="B27" s="43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3:13" ht="10.5"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10.5">
      <c r="A29" s="265" t="s">
        <v>151</v>
      </c>
      <c r="B29" s="267"/>
      <c r="C29" s="268">
        <f aca="true" t="shared" si="12" ref="C29:M29">+SUM(C30:C32)</f>
        <v>68808.308</v>
      </c>
      <c r="D29" s="268">
        <f t="shared" si="12"/>
        <v>160990.35359</v>
      </c>
      <c r="E29" s="268">
        <f aca="true" t="shared" si="13" ref="E29:J29">+SUM(E30:E32)</f>
        <v>181060.87322269997</v>
      </c>
      <c r="F29" s="268">
        <f t="shared" si="13"/>
        <v>201592.1452251</v>
      </c>
      <c r="G29" s="268">
        <f t="shared" si="13"/>
        <v>203728.59743060003</v>
      </c>
      <c r="H29" s="268">
        <f t="shared" si="13"/>
        <v>-45096.2642242</v>
      </c>
      <c r="I29" s="268">
        <f t="shared" si="13"/>
        <v>212591.14746319997</v>
      </c>
      <c r="J29" s="268">
        <f t="shared" si="13"/>
        <v>226690.89177469997</v>
      </c>
      <c r="K29" s="268">
        <f t="shared" si="12"/>
        <v>236173.9195597</v>
      </c>
      <c r="L29" s="268">
        <f t="shared" si="12"/>
        <v>255282.65169939992</v>
      </c>
      <c r="M29" s="268">
        <f t="shared" si="12"/>
        <v>-71352.121917</v>
      </c>
    </row>
    <row r="30" spans="1:14" ht="10.5">
      <c r="A30" s="266" t="s">
        <v>152</v>
      </c>
      <c r="B30" s="267"/>
      <c r="C30" s="269">
        <f>IF('Gastos com Pessoal'!D7=0,0,('Gastos com Pessoal'!D99+'Gastos com Pessoal'!D100+'Gastos com Pessoal'!D71+'Gastos com Pessoal'!D72)/'Gastos com Pessoal'!D7)</f>
        <v>12389.4175</v>
      </c>
      <c r="D30" s="269">
        <f>IF('Gastos com Pessoal'!E7=0,0,('Gastos com Pessoal'!E99+'Gastos com Pessoal'!E100+'Gastos com Pessoal'!E71+'Gastos com Pessoal'!E72)/'Gastos com Pessoal'!E7)</f>
        <v>25623.607500000002</v>
      </c>
      <c r="E30" s="269">
        <f>IF('Gastos com Pessoal'!F7=0,0,('Gastos com Pessoal'!F99+'Gastos com Pessoal'!F100+'Gastos com Pessoal'!F71+'Gastos com Pessoal'!F72)/'Gastos com Pessoal'!F7)</f>
        <v>35620.4875</v>
      </c>
      <c r="F30" s="269">
        <f>IF('Gastos com Pessoal'!G7=0,0,('Gastos com Pessoal'!G99+'Gastos com Pessoal'!G100+'Gastos com Pessoal'!G71+'Gastos com Pessoal'!G72)/'Gastos com Pessoal'!G7)</f>
        <v>35620.4875</v>
      </c>
      <c r="G30" s="269">
        <f>IF('Gastos com Pessoal'!H7=0,0,('Gastos com Pessoal'!H99+'Gastos com Pessoal'!H100+'Gastos com Pessoal'!H71+'Gastos com Pessoal'!H72)/'Gastos com Pessoal'!H7)</f>
        <v>35620.4875</v>
      </c>
      <c r="H30" s="269">
        <f>IF('Gastos com Pessoal'!I7=0,0,('Gastos com Pessoal'!I99+'Gastos com Pessoal'!I100+'Gastos com Pessoal'!I71+'Gastos com Pessoal'!I72)/'Gastos com Pessoal'!I7)</f>
        <v>35620.4875</v>
      </c>
      <c r="I30" s="269">
        <f>IF('Gastos com Pessoal'!J7=0,0,('Gastos com Pessoal'!J99+'Gastos com Pessoal'!J100+'Gastos com Pessoal'!J71+'Gastos com Pessoal'!J72)/'Gastos com Pessoal'!J7)</f>
        <v>35620.4875</v>
      </c>
      <c r="J30" s="269">
        <f>IF('Gastos com Pessoal'!K7=0,0,('Gastos com Pessoal'!K99+'Gastos com Pessoal'!K100+'Gastos com Pessoal'!K71+'Gastos com Pessoal'!K72)/'Gastos com Pessoal'!K7)</f>
        <v>35620.4875</v>
      </c>
      <c r="K30" s="269">
        <f>IF('Gastos com Pessoal'!L7=0,0,('Gastos com Pessoal'!L99+'Gastos com Pessoal'!L100+'Gastos com Pessoal'!L71+'Gastos com Pessoal'!L72)/'Gastos com Pessoal'!L7)</f>
        <v>35620.4875</v>
      </c>
      <c r="L30" s="269">
        <f>IF('Gastos com Pessoal'!M7=0,0,('Gastos com Pessoal'!M99+'Gastos com Pessoal'!M100+'Gastos com Pessoal'!M71+'Gastos com Pessoal'!M72)/'Gastos com Pessoal'!M7)</f>
        <v>35620.4875</v>
      </c>
      <c r="M30" s="269">
        <f>IF('Gastos com Pessoal'!N7=0,0,('Gastos com Pessoal'!N99+'Gastos com Pessoal'!N100+'Gastos com Pessoal'!N71+'Gastos com Pessoal'!N72)/'Gastos com Pessoal'!N7)</f>
        <v>35620.4875</v>
      </c>
      <c r="N30" s="360"/>
    </row>
    <row r="31" spans="1:13" ht="10.5">
      <c r="A31" s="266" t="s">
        <v>153</v>
      </c>
      <c r="B31" s="267"/>
      <c r="C31" s="269">
        <f>IF('Gastos com Pessoal'!D7=0,0,'Gastos com Pessoal'!D101/'Gastos com Pessoal'!D7)</f>
        <v>5347.95</v>
      </c>
      <c r="D31" s="269">
        <f>IF('Gastos com Pessoal'!E7=0,0,'Gastos com Pessoal'!E101/'Gastos com Pessoal'!E7)</f>
        <v>11060.55</v>
      </c>
      <c r="E31" s="269">
        <f>IF('Gastos com Pessoal'!F7=0,0,'Gastos com Pessoal'!F101/'Gastos com Pessoal'!F7)</f>
        <v>15375.75</v>
      </c>
      <c r="F31" s="269">
        <f>IF('Gastos com Pessoal'!G7=0,0,'Gastos com Pessoal'!G101/'Gastos com Pessoal'!G7)</f>
        <v>15375.75</v>
      </c>
      <c r="G31" s="269">
        <f>IF('Gastos com Pessoal'!H7=0,0,'Gastos com Pessoal'!H101/'Gastos com Pessoal'!H7)</f>
        <v>15375.75</v>
      </c>
      <c r="H31" s="269">
        <f>IF('Gastos com Pessoal'!I7=0,0,'Gastos com Pessoal'!I101/'Gastos com Pessoal'!I7)</f>
        <v>15375.75</v>
      </c>
      <c r="I31" s="269">
        <f>IF('Gastos com Pessoal'!J7=0,0,'Gastos com Pessoal'!J101/'Gastos com Pessoal'!J7)</f>
        <v>15375.75</v>
      </c>
      <c r="J31" s="269">
        <f>IF('Gastos com Pessoal'!K7=0,0,'Gastos com Pessoal'!K101/'Gastos com Pessoal'!K7)</f>
        <v>15375.75</v>
      </c>
      <c r="K31" s="269">
        <f>IF('Gastos com Pessoal'!L7=0,0,'Gastos com Pessoal'!L101/'Gastos com Pessoal'!L7)</f>
        <v>15375.75</v>
      </c>
      <c r="L31" s="269">
        <f>IF('Gastos com Pessoal'!M7=0,0,'Gastos com Pessoal'!M101/'Gastos com Pessoal'!M7)</f>
        <v>15375.75</v>
      </c>
      <c r="M31" s="269">
        <f>IF('Gastos com Pessoal'!N7=0,0,'Gastos com Pessoal'!N101/'Gastos com Pessoal'!N7)</f>
        <v>15375.75</v>
      </c>
    </row>
    <row r="32" spans="1:13" ht="10.5">
      <c r="A32" s="266" t="s">
        <v>43</v>
      </c>
      <c r="B32" s="267"/>
      <c r="C32" s="269">
        <f>(VN!C82-CMVMC!C18-FSE!F51-Investimento!C33)/Pressupostos!$C$16</f>
        <v>51070.940500000004</v>
      </c>
      <c r="D32" s="269">
        <f>(VN!D82-CMVMC!D18-FSE!G51-Investimento!D33)/Pressupostos!$C$16</f>
        <v>124306.19609</v>
      </c>
      <c r="E32" s="269">
        <f>(VN!E82-CMVMC!E18-FSE!H51-Investimento!E33)/Pressupostos!$C$16</f>
        <v>130064.63572269998</v>
      </c>
      <c r="F32" s="269">
        <f>(VN!F82-CMVMC!F18-FSE!I51-Investimento!F33)/Pressupostos!$C$16</f>
        <v>150595.9077251</v>
      </c>
      <c r="G32" s="269">
        <f>(VN!G82-CMVMC!G18-FSE!J51-Investimento!G33)/Pressupostos!$C$16</f>
        <v>152732.3599306</v>
      </c>
      <c r="H32" s="269">
        <f>(VN!H82-CMVMC!H18-FSE!K51-Investimento!H33)/Pressupostos!$C$16</f>
        <v>-96092.5017242</v>
      </c>
      <c r="I32" s="269">
        <f>(VN!I82-CMVMC!I18-FSE!L51-Investimento!I33)/Pressupostos!$C$16</f>
        <v>161594.90996319999</v>
      </c>
      <c r="J32" s="269">
        <f>(VN!J82-CMVMC!J18-FSE!M51-Investimento!J33)/Pressupostos!$C$16</f>
        <v>175694.65427469998</v>
      </c>
      <c r="K32" s="269">
        <f>(VN!K82-CMVMC!K18-FSE!N51-Investimento!K33)/Pressupostos!$C$16</f>
        <v>185177.6820597</v>
      </c>
      <c r="L32" s="269">
        <f>(VN!L82-CMVMC!L18-FSE!O51-Investimento!L33)/Pressupostos!$C$16</f>
        <v>204286.41419939994</v>
      </c>
      <c r="M32" s="269">
        <f>(VN!M82-CMVMC!M18-FSE!P51-Investimento!M33)/Pressupostos!$C$16</f>
        <v>-122348.359417</v>
      </c>
    </row>
    <row r="33" ht="10.5">
      <c r="J33" s="134"/>
    </row>
    <row r="34" ht="10.5">
      <c r="J34" s="134"/>
    </row>
    <row r="35" ht="10.5">
      <c r="J35" s="134"/>
    </row>
    <row r="36" ht="10.5">
      <c r="J36" s="134"/>
    </row>
    <row r="37" ht="10.5">
      <c r="J37" s="134"/>
    </row>
  </sheetData>
  <sheetProtection password="8318" sheet="1"/>
  <mergeCells count="6">
    <mergeCell ref="A4:M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M182"/>
  <sheetViews>
    <sheetView showGridLines="0" showZeros="0" zoomScalePageLayoutView="0" workbookViewId="0" topLeftCell="A46">
      <selection activeCell="D72" sqref="D72:H73"/>
    </sheetView>
  </sheetViews>
  <sheetFormatPr defaultColWidth="9.140625" defaultRowHeight="12.75"/>
  <cols>
    <col min="1" max="1" width="34.28125" style="136" customWidth="1"/>
    <col min="2" max="2" width="8.7109375" style="136" customWidth="1"/>
    <col min="3" max="13" width="8.140625" style="136" customWidth="1"/>
    <col min="14" max="14" width="3.57421875" style="136" customWidth="1"/>
    <col min="15" max="15" width="2.7109375" style="136" customWidth="1"/>
    <col min="16" max="16384" width="8.7109375" style="136" customWidth="1"/>
  </cols>
  <sheetData>
    <row r="1" spans="1:13" s="51" customFormat="1" ht="12.75">
      <c r="A1" s="43"/>
      <c r="B1" s="43"/>
      <c r="C1" s="35"/>
      <c r="D1" s="35"/>
      <c r="E1" s="35"/>
      <c r="F1" s="35"/>
      <c r="G1" s="35"/>
      <c r="H1" s="35"/>
      <c r="I1" s="35"/>
      <c r="J1" s="35"/>
      <c r="K1" s="35"/>
      <c r="L1" s="406" t="s">
        <v>44</v>
      </c>
      <c r="M1" s="407" t="str">
        <f>+Pressupostos!E1</f>
        <v>JUPITER</v>
      </c>
    </row>
    <row r="2" spans="1:13" s="51" customFormat="1" ht="12.75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43"/>
      <c r="M2" s="38" t="str">
        <f>+Pressupostos!B9</f>
        <v>Euros</v>
      </c>
    </row>
    <row r="3" spans="1:13" s="51" customFormat="1" ht="12.75">
      <c r="A3" s="37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38"/>
    </row>
    <row r="4" spans="1:13" s="51" customFormat="1" ht="15.75">
      <c r="A4" s="562" t="s">
        <v>37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0.5">
      <c r="A6" s="137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10.5">
      <c r="A7" s="602" t="s">
        <v>282</v>
      </c>
      <c r="B7" s="602"/>
      <c r="C7" s="139">
        <f>+VN!C8</f>
        <v>2021</v>
      </c>
      <c r="D7" s="139">
        <f>+VN!D8</f>
        <v>2022</v>
      </c>
      <c r="E7" s="139">
        <f>+VN!E8</f>
        <v>2023</v>
      </c>
      <c r="F7" s="139">
        <f>+VN!F8</f>
        <v>2024</v>
      </c>
      <c r="G7" s="139">
        <f>+VN!G8</f>
        <v>2025</v>
      </c>
      <c r="H7" s="139">
        <f>+VN!H8</f>
        <v>2026</v>
      </c>
      <c r="I7" s="139">
        <f>+VN!I8</f>
        <v>2027</v>
      </c>
      <c r="J7" s="139">
        <f>+VN!J8</f>
        <v>2028</v>
      </c>
      <c r="K7" s="139">
        <f>+VN!K8</f>
        <v>2029</v>
      </c>
      <c r="L7" s="139">
        <f>+VN!L8</f>
        <v>2030</v>
      </c>
      <c r="M7" s="139">
        <f>+VN!M8</f>
        <v>2031</v>
      </c>
    </row>
    <row r="8" spans="1:13" ht="10.5">
      <c r="A8" s="140" t="s">
        <v>281</v>
      </c>
      <c r="B8" s="154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10.5">
      <c r="A9" s="273" t="s">
        <v>213</v>
      </c>
      <c r="B9" s="154"/>
      <c r="C9" s="520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0.5">
      <c r="A10" s="273" t="s">
        <v>283</v>
      </c>
      <c r="B10" s="154"/>
      <c r="C10" s="33"/>
      <c r="D10" s="33">
        <v>145000</v>
      </c>
      <c r="E10" s="33"/>
      <c r="F10" s="33"/>
      <c r="G10" s="33"/>
      <c r="H10" s="33">
        <v>120000</v>
      </c>
      <c r="I10" s="278">
        <v>120000</v>
      </c>
      <c r="J10" s="278">
        <v>120000</v>
      </c>
      <c r="K10" s="278">
        <v>120000</v>
      </c>
      <c r="L10" s="278">
        <v>120000</v>
      </c>
      <c r="M10" s="278">
        <v>250000</v>
      </c>
    </row>
    <row r="11" spans="1:13" ht="10.5">
      <c r="A11" s="273" t="s">
        <v>284</v>
      </c>
      <c r="B11" s="154"/>
      <c r="C11" s="33"/>
      <c r="D11" s="33"/>
      <c r="E11" s="33"/>
      <c r="F11" s="33"/>
      <c r="G11" s="33"/>
      <c r="H11" s="33"/>
      <c r="I11" s="278"/>
      <c r="J11" s="278"/>
      <c r="K11" s="278"/>
      <c r="L11" s="278"/>
      <c r="M11" s="278"/>
    </row>
    <row r="12" spans="1:13" ht="10.5">
      <c r="A12" s="600" t="s">
        <v>285</v>
      </c>
      <c r="B12" s="601"/>
      <c r="C12" s="278">
        <f>+SUM(C9:C11)</f>
        <v>0</v>
      </c>
      <c r="D12" s="278">
        <f>+SUM(D9:D11)</f>
        <v>145000</v>
      </c>
      <c r="E12" s="278">
        <f>+SUM(E9:E11)</f>
        <v>0</v>
      </c>
      <c r="F12" s="278">
        <f aca="true" t="shared" si="0" ref="F12:M12">+SUM(F9:F11)</f>
        <v>0</v>
      </c>
      <c r="G12" s="278">
        <f t="shared" si="0"/>
        <v>0</v>
      </c>
      <c r="H12" s="278"/>
      <c r="I12" s="278">
        <f t="shared" si="0"/>
        <v>120000</v>
      </c>
      <c r="J12" s="278">
        <f t="shared" si="0"/>
        <v>120000</v>
      </c>
      <c r="K12" s="278">
        <f t="shared" si="0"/>
        <v>120000</v>
      </c>
      <c r="L12" s="278"/>
      <c r="M12" s="278">
        <f t="shared" si="0"/>
        <v>250000</v>
      </c>
    </row>
    <row r="13" spans="1:13" ht="10.5">
      <c r="A13" s="140" t="s">
        <v>286</v>
      </c>
      <c r="B13" s="14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0.5">
      <c r="A14" s="273" t="s">
        <v>213</v>
      </c>
      <c r="B14" s="141"/>
      <c r="C14" s="33">
        <v>90000</v>
      </c>
      <c r="D14" s="33"/>
      <c r="E14" s="33"/>
      <c r="F14" s="33"/>
      <c r="G14" s="33"/>
      <c r="H14" s="33">
        <v>1500000</v>
      </c>
      <c r="I14" s="33">
        <v>120000</v>
      </c>
      <c r="J14" s="33">
        <v>120000</v>
      </c>
      <c r="K14" s="33">
        <v>120000</v>
      </c>
      <c r="L14" s="33">
        <v>120000</v>
      </c>
      <c r="M14" s="33">
        <v>1500000</v>
      </c>
    </row>
    <row r="15" spans="1:13" ht="10.5">
      <c r="A15" s="273" t="s">
        <v>283</v>
      </c>
      <c r="B15" s="141"/>
      <c r="C15" s="513">
        <v>565000</v>
      </c>
      <c r="D15" s="513">
        <v>1345000</v>
      </c>
      <c r="E15" s="513">
        <v>2000</v>
      </c>
      <c r="F15" s="513"/>
      <c r="G15" s="513"/>
      <c r="H15" s="513">
        <v>1500000</v>
      </c>
      <c r="I15" s="513">
        <v>2000</v>
      </c>
      <c r="J15" s="513"/>
      <c r="K15" s="513"/>
      <c r="L15" s="513"/>
      <c r="M15" s="513">
        <v>1500000</v>
      </c>
    </row>
    <row r="16" spans="1:13" ht="10.5">
      <c r="A16" s="273" t="s">
        <v>434</v>
      </c>
      <c r="B16" s="141"/>
      <c r="C16" s="513"/>
      <c r="D16" s="513"/>
      <c r="E16" s="513"/>
      <c r="F16" s="513"/>
      <c r="G16" s="513"/>
      <c r="H16" s="513">
        <v>1500000</v>
      </c>
      <c r="I16" s="513">
        <v>60000</v>
      </c>
      <c r="J16" s="513">
        <v>60000</v>
      </c>
      <c r="K16" s="513">
        <v>60000</v>
      </c>
      <c r="L16" s="513">
        <v>60000</v>
      </c>
      <c r="M16" s="513">
        <v>60000</v>
      </c>
    </row>
    <row r="17" spans="1:13" ht="10.5">
      <c r="A17" s="273" t="s">
        <v>424</v>
      </c>
      <c r="B17" s="141"/>
      <c r="C17" s="513">
        <v>165000</v>
      </c>
      <c r="D17" s="513">
        <v>165000</v>
      </c>
      <c r="E17" s="513">
        <v>165000</v>
      </c>
      <c r="F17" s="513">
        <v>165000</v>
      </c>
      <c r="G17" s="513">
        <v>165000</v>
      </c>
      <c r="H17" s="513"/>
      <c r="I17" s="513"/>
      <c r="J17" s="513"/>
      <c r="K17" s="513"/>
      <c r="L17" s="513"/>
      <c r="M17" s="513">
        <v>825000</v>
      </c>
    </row>
    <row r="18" spans="1:13" ht="10.5">
      <c r="A18" s="273" t="s">
        <v>425</v>
      </c>
      <c r="B18" s="141"/>
      <c r="C18" s="513">
        <v>10000</v>
      </c>
      <c r="D18" s="513"/>
      <c r="E18" s="513">
        <v>6000</v>
      </c>
      <c r="F18" s="513"/>
      <c r="G18" s="513"/>
      <c r="H18" s="513">
        <v>10000</v>
      </c>
      <c r="I18" s="513"/>
      <c r="J18" s="513"/>
      <c r="K18" s="513"/>
      <c r="L18" s="513"/>
      <c r="M18" s="513">
        <v>10000</v>
      </c>
    </row>
    <row r="19" spans="1:13" ht="10.5">
      <c r="A19" s="273" t="s">
        <v>426</v>
      </c>
      <c r="B19" s="141"/>
      <c r="C19" s="513">
        <v>15000</v>
      </c>
      <c r="D19" s="513">
        <v>10000</v>
      </c>
      <c r="E19" s="513"/>
      <c r="F19" s="513"/>
      <c r="G19" s="513"/>
      <c r="H19" s="513">
        <v>20000</v>
      </c>
      <c r="I19" s="513"/>
      <c r="J19" s="513"/>
      <c r="K19" s="513"/>
      <c r="L19" s="513"/>
      <c r="M19" s="513">
        <v>20000</v>
      </c>
    </row>
    <row r="20" spans="1:13" ht="10.5">
      <c r="A20" s="273" t="s">
        <v>287</v>
      </c>
      <c r="B20" s="141"/>
      <c r="C20" s="513">
        <v>120000</v>
      </c>
      <c r="D20" s="513">
        <v>60000</v>
      </c>
      <c r="E20" s="513">
        <v>180000</v>
      </c>
      <c r="F20" s="513"/>
      <c r="G20" s="513"/>
      <c r="H20" s="513">
        <v>3000000</v>
      </c>
      <c r="I20" s="513">
        <v>60000</v>
      </c>
      <c r="J20" s="513">
        <v>60000</v>
      </c>
      <c r="K20" s="513">
        <v>60000</v>
      </c>
      <c r="L20" s="513">
        <v>60000</v>
      </c>
      <c r="M20" s="513">
        <v>6000000</v>
      </c>
    </row>
    <row r="21" spans="1:13" ht="10.5">
      <c r="A21" s="598" t="s">
        <v>288</v>
      </c>
      <c r="B21" s="599"/>
      <c r="C21" s="144">
        <f>+SUM(C14:C20)</f>
        <v>965000</v>
      </c>
      <c r="D21" s="144">
        <f>+SUM(D14:D20)</f>
        <v>1580000</v>
      </c>
      <c r="E21" s="144">
        <f>+SUM(E14:E20)</f>
        <v>353000</v>
      </c>
      <c r="F21" s="144">
        <f aca="true" t="shared" si="1" ref="F21:M21">+SUM(F14:F20)</f>
        <v>165000</v>
      </c>
      <c r="G21" s="144">
        <f t="shared" si="1"/>
        <v>165000</v>
      </c>
      <c r="H21" s="144">
        <f t="shared" si="1"/>
        <v>7530000</v>
      </c>
      <c r="I21" s="144">
        <f t="shared" si="1"/>
        <v>242000</v>
      </c>
      <c r="J21" s="144">
        <f t="shared" si="1"/>
        <v>240000</v>
      </c>
      <c r="K21" s="144">
        <f t="shared" si="1"/>
        <v>240000</v>
      </c>
      <c r="L21" s="144">
        <f t="shared" si="1"/>
        <v>240000</v>
      </c>
      <c r="M21" s="144">
        <f t="shared" si="1"/>
        <v>9915000</v>
      </c>
    </row>
    <row r="22" spans="1:13" ht="10.5">
      <c r="A22" s="140" t="s">
        <v>289</v>
      </c>
      <c r="B22" s="14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ht="10.5">
      <c r="A23" s="273" t="s">
        <v>429</v>
      </c>
      <c r="B23" s="141"/>
      <c r="C23" s="513">
        <v>250000</v>
      </c>
      <c r="D23" s="513"/>
      <c r="E23" s="33">
        <v>250000</v>
      </c>
      <c r="F23" s="33"/>
      <c r="G23" s="33">
        <v>250000</v>
      </c>
      <c r="H23" s="33"/>
      <c r="I23" s="33">
        <v>500000</v>
      </c>
      <c r="J23" s="33"/>
      <c r="K23" s="33">
        <v>500000</v>
      </c>
      <c r="L23" s="33"/>
      <c r="M23" s="33"/>
    </row>
    <row r="24" spans="1:13" ht="10.5">
      <c r="A24" s="273" t="s">
        <v>290</v>
      </c>
      <c r="B24" s="141"/>
      <c r="C24" s="513">
        <v>670000</v>
      </c>
      <c r="D24" s="513">
        <v>1250000</v>
      </c>
      <c r="E24" s="33">
        <v>3013280</v>
      </c>
      <c r="F24" s="33">
        <v>1820000</v>
      </c>
      <c r="G24" s="33">
        <v>2271000</v>
      </c>
      <c r="H24" s="33">
        <v>790000</v>
      </c>
      <c r="I24" s="33">
        <v>3065000</v>
      </c>
      <c r="J24" s="33">
        <v>2630000</v>
      </c>
      <c r="K24" s="33">
        <v>5594900</v>
      </c>
      <c r="L24" s="33">
        <v>4820000</v>
      </c>
      <c r="M24" s="33">
        <v>2080000</v>
      </c>
    </row>
    <row r="25" spans="1:13" ht="10.5">
      <c r="A25" s="273" t="s">
        <v>430</v>
      </c>
      <c r="B25" s="141"/>
      <c r="C25" s="513">
        <v>60000</v>
      </c>
      <c r="D25" s="513"/>
      <c r="E25" s="33">
        <v>60000</v>
      </c>
      <c r="F25" s="33"/>
      <c r="G25" s="33">
        <v>60000</v>
      </c>
      <c r="H25" s="33"/>
      <c r="I25" s="33">
        <v>60000</v>
      </c>
      <c r="J25" s="33"/>
      <c r="K25" s="33">
        <v>60000</v>
      </c>
      <c r="L25" s="33"/>
      <c r="M25" s="33">
        <v>60000</v>
      </c>
    </row>
    <row r="26" spans="1:13" ht="10.5">
      <c r="A26" s="273" t="s">
        <v>433</v>
      </c>
      <c r="B26" s="141"/>
      <c r="C26" s="513">
        <v>20000</v>
      </c>
      <c r="D26" s="513">
        <v>20000</v>
      </c>
      <c r="E26" s="33">
        <v>20000</v>
      </c>
      <c r="F26" s="33">
        <v>20000</v>
      </c>
      <c r="G26" s="33">
        <v>20000</v>
      </c>
      <c r="H26" s="33">
        <v>20000</v>
      </c>
      <c r="I26" s="33">
        <v>20000</v>
      </c>
      <c r="J26" s="33">
        <v>20000</v>
      </c>
      <c r="K26" s="33">
        <v>20000</v>
      </c>
      <c r="L26" s="33">
        <v>20000</v>
      </c>
      <c r="M26" s="33">
        <v>20000</v>
      </c>
    </row>
    <row r="27" spans="1:13" ht="10.5">
      <c r="A27" s="273" t="s">
        <v>291</v>
      </c>
      <c r="B27" s="141"/>
      <c r="C27" s="513">
        <v>750000</v>
      </c>
      <c r="D27" s="513">
        <v>450000</v>
      </c>
      <c r="E27" s="33">
        <v>750000</v>
      </c>
      <c r="F27" s="33">
        <v>450000</v>
      </c>
      <c r="G27" s="33">
        <v>750000</v>
      </c>
      <c r="H27" s="33">
        <v>450000</v>
      </c>
      <c r="I27" s="33">
        <v>750000</v>
      </c>
      <c r="J27" s="33">
        <v>450000</v>
      </c>
      <c r="K27" s="33">
        <v>750000</v>
      </c>
      <c r="L27" s="33">
        <v>450000</v>
      </c>
      <c r="M27" s="33"/>
    </row>
    <row r="28" spans="1:13" ht="10.5">
      <c r="A28" s="598" t="s">
        <v>292</v>
      </c>
      <c r="B28" s="599"/>
      <c r="C28" s="144">
        <f>+SUM(C23:C27)</f>
        <v>1750000</v>
      </c>
      <c r="D28" s="144">
        <f>+SUM(D23:D27)</f>
        <v>1720000</v>
      </c>
      <c r="E28" s="144">
        <f>+SUM(E23:E27)</f>
        <v>4093280</v>
      </c>
      <c r="F28" s="144">
        <f aca="true" t="shared" si="2" ref="F28:M28">+SUM(F23:F27)</f>
        <v>2290000</v>
      </c>
      <c r="G28" s="144">
        <f t="shared" si="2"/>
        <v>3351000</v>
      </c>
      <c r="H28" s="144">
        <f t="shared" si="2"/>
        <v>1260000</v>
      </c>
      <c r="I28" s="144">
        <f t="shared" si="2"/>
        <v>4395000</v>
      </c>
      <c r="J28" s="144">
        <f t="shared" si="2"/>
        <v>3100000</v>
      </c>
      <c r="K28" s="144">
        <f t="shared" si="2"/>
        <v>6924900</v>
      </c>
      <c r="L28" s="144">
        <f t="shared" si="2"/>
        <v>5290000</v>
      </c>
      <c r="M28" s="144">
        <f t="shared" si="2"/>
        <v>2160000</v>
      </c>
    </row>
    <row r="29" spans="1:13" ht="10.5" thickBot="1">
      <c r="A29" s="592" t="s">
        <v>146</v>
      </c>
      <c r="B29" s="592"/>
      <c r="C29" s="145">
        <f>+C12+C21+C28</f>
        <v>2715000</v>
      </c>
      <c r="D29" s="145">
        <f>+D12+D21+D28</f>
        <v>3445000</v>
      </c>
      <c r="E29" s="145">
        <f>+E12+E21+E28</f>
        <v>4446280</v>
      </c>
      <c r="F29" s="145">
        <f aca="true" t="shared" si="3" ref="F29:M29">+F12+F21+F28</f>
        <v>2455000</v>
      </c>
      <c r="G29" s="145">
        <f t="shared" si="3"/>
        <v>3516000</v>
      </c>
      <c r="H29" s="145">
        <f t="shared" si="3"/>
        <v>8790000</v>
      </c>
      <c r="I29" s="145">
        <f t="shared" si="3"/>
        <v>4757000</v>
      </c>
      <c r="J29" s="145">
        <f t="shared" si="3"/>
        <v>3460000</v>
      </c>
      <c r="K29" s="145">
        <f t="shared" si="3"/>
        <v>7284900</v>
      </c>
      <c r="L29" s="145">
        <f t="shared" si="3"/>
        <v>5530000</v>
      </c>
      <c r="M29" s="145">
        <f t="shared" si="3"/>
        <v>12325000</v>
      </c>
    </row>
    <row r="30" spans="1:13" ht="10.5" thickTop="1">
      <c r="A30" s="146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ht="13.5" customHeight="1">
      <c r="A31" s="596" t="s">
        <v>388</v>
      </c>
      <c r="B31" s="597"/>
      <c r="C31" s="519"/>
      <c r="D31" s="519"/>
      <c r="E31" s="519"/>
      <c r="F31" s="519"/>
      <c r="G31" s="518">
        <v>12</v>
      </c>
      <c r="H31" s="518">
        <v>12</v>
      </c>
      <c r="I31" s="518">
        <v>12</v>
      </c>
      <c r="J31" s="518">
        <v>12</v>
      </c>
      <c r="K31" s="518">
        <v>12</v>
      </c>
      <c r="L31" s="518">
        <v>12</v>
      </c>
      <c r="M31" s="518">
        <v>12</v>
      </c>
    </row>
    <row r="32" spans="1:13" ht="10.5">
      <c r="A32" s="150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10.5" thickBot="1">
      <c r="A33" s="148" t="s">
        <v>43</v>
      </c>
      <c r="B33" s="259">
        <f>+Pressupostos!B22</f>
        <v>0.23</v>
      </c>
      <c r="C33" s="145">
        <f>+$B$33*(C16+C18+C20+C25)</f>
        <v>43700</v>
      </c>
      <c r="D33" s="145">
        <f>+$B$33*(D16+D18+D20+D25)</f>
        <v>13800</v>
      </c>
      <c r="E33" s="145">
        <f>+$B$33*(E16+E18+E20+E25)</f>
        <v>56580</v>
      </c>
      <c r="F33" s="145">
        <f aca="true" t="shared" si="4" ref="F33:M33">+$B$33*(F16+F18+F20+F25)</f>
        <v>0</v>
      </c>
      <c r="G33" s="145">
        <f t="shared" si="4"/>
        <v>13800</v>
      </c>
      <c r="H33" s="145">
        <f t="shared" si="4"/>
        <v>1037300</v>
      </c>
      <c r="I33" s="145">
        <f t="shared" si="4"/>
        <v>41400</v>
      </c>
      <c r="J33" s="145">
        <f t="shared" si="4"/>
        <v>27600</v>
      </c>
      <c r="K33" s="145">
        <f t="shared" si="4"/>
        <v>41400</v>
      </c>
      <c r="L33" s="145">
        <f t="shared" si="4"/>
        <v>27600</v>
      </c>
      <c r="M33" s="145">
        <f t="shared" si="4"/>
        <v>1409900</v>
      </c>
    </row>
    <row r="34" spans="1:13" ht="10.5" thickTop="1">
      <c r="A34" s="149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3" ht="10.5">
      <c r="A35" s="603" t="s">
        <v>203</v>
      </c>
      <c r="B35" s="603"/>
      <c r="C35" s="139">
        <f>+C7</f>
        <v>2021</v>
      </c>
      <c r="D35" s="139">
        <f>+D7</f>
        <v>2022</v>
      </c>
      <c r="E35" s="139">
        <f>+E7</f>
        <v>2023</v>
      </c>
      <c r="F35" s="139">
        <f aca="true" t="shared" si="5" ref="F35:M35">+F7</f>
        <v>2024</v>
      </c>
      <c r="G35" s="139">
        <f t="shared" si="5"/>
        <v>2025</v>
      </c>
      <c r="H35" s="139">
        <f t="shared" si="5"/>
        <v>2026</v>
      </c>
      <c r="I35" s="139">
        <f t="shared" si="5"/>
        <v>2027</v>
      </c>
      <c r="J35" s="139">
        <f t="shared" si="5"/>
        <v>2028</v>
      </c>
      <c r="K35" s="139">
        <f t="shared" si="5"/>
        <v>2029</v>
      </c>
      <c r="L35" s="139">
        <f t="shared" si="5"/>
        <v>2030</v>
      </c>
      <c r="M35" s="139">
        <f t="shared" si="5"/>
        <v>2031</v>
      </c>
    </row>
    <row r="36" spans="1:13" ht="10.5">
      <c r="A36" s="140" t="s">
        <v>154</v>
      </c>
      <c r="B36" s="154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10.5">
      <c r="A37" s="273" t="s">
        <v>155</v>
      </c>
      <c r="B37" s="154"/>
      <c r="C37" s="276">
        <f>+C9</f>
        <v>0</v>
      </c>
      <c r="D37" s="276">
        <f aca="true" t="shared" si="6" ref="D37:E39">+C37+D9</f>
        <v>0</v>
      </c>
      <c r="E37" s="276">
        <f t="shared" si="6"/>
        <v>0</v>
      </c>
      <c r="F37" s="276">
        <f aca="true" t="shared" si="7" ref="F37:M37">+E37+F9</f>
        <v>0</v>
      </c>
      <c r="G37" s="276">
        <f t="shared" si="7"/>
        <v>0</v>
      </c>
      <c r="H37" s="276">
        <f t="shared" si="7"/>
        <v>0</v>
      </c>
      <c r="I37" s="276">
        <f t="shared" si="7"/>
        <v>0</v>
      </c>
      <c r="J37" s="276">
        <f t="shared" si="7"/>
        <v>0</v>
      </c>
      <c r="K37" s="276">
        <f t="shared" si="7"/>
        <v>0</v>
      </c>
      <c r="L37" s="276">
        <f t="shared" si="7"/>
        <v>0</v>
      </c>
      <c r="M37" s="276">
        <f t="shared" si="7"/>
        <v>0</v>
      </c>
    </row>
    <row r="38" spans="1:13" ht="10.5">
      <c r="A38" s="273" t="s">
        <v>156</v>
      </c>
      <c r="B38" s="154"/>
      <c r="C38" s="276">
        <f>+C10</f>
        <v>0</v>
      </c>
      <c r="D38" s="276">
        <f t="shared" si="6"/>
        <v>145000</v>
      </c>
      <c r="E38" s="276">
        <f t="shared" si="6"/>
        <v>145000</v>
      </c>
      <c r="F38" s="276">
        <f aca="true" t="shared" si="8" ref="F38:M38">+E38+F10</f>
        <v>145000</v>
      </c>
      <c r="G38" s="276">
        <f t="shared" si="8"/>
        <v>145000</v>
      </c>
      <c r="H38" s="276">
        <f t="shared" si="8"/>
        <v>265000</v>
      </c>
      <c r="I38" s="276">
        <f t="shared" si="8"/>
        <v>385000</v>
      </c>
      <c r="J38" s="276">
        <f t="shared" si="8"/>
        <v>505000</v>
      </c>
      <c r="K38" s="276">
        <f t="shared" si="8"/>
        <v>625000</v>
      </c>
      <c r="L38" s="276">
        <f t="shared" si="8"/>
        <v>745000</v>
      </c>
      <c r="M38" s="276">
        <f t="shared" si="8"/>
        <v>995000</v>
      </c>
    </row>
    <row r="39" spans="1:13" ht="10.5">
      <c r="A39" s="273" t="s">
        <v>157</v>
      </c>
      <c r="B39" s="154"/>
      <c r="C39" s="276">
        <f>+C11</f>
        <v>0</v>
      </c>
      <c r="D39" s="276">
        <f t="shared" si="6"/>
        <v>0</v>
      </c>
      <c r="E39" s="276">
        <f t="shared" si="6"/>
        <v>0</v>
      </c>
      <c r="F39" s="276">
        <f aca="true" t="shared" si="9" ref="F39:M39">+E39+F11</f>
        <v>0</v>
      </c>
      <c r="G39" s="276">
        <f t="shared" si="9"/>
        <v>0</v>
      </c>
      <c r="H39" s="276">
        <f t="shared" si="9"/>
        <v>0</v>
      </c>
      <c r="I39" s="276">
        <f t="shared" si="9"/>
        <v>0</v>
      </c>
      <c r="J39" s="276">
        <f t="shared" si="9"/>
        <v>0</v>
      </c>
      <c r="K39" s="276">
        <f t="shared" si="9"/>
        <v>0</v>
      </c>
      <c r="L39" s="276">
        <f t="shared" si="9"/>
        <v>0</v>
      </c>
      <c r="M39" s="276">
        <f t="shared" si="9"/>
        <v>0</v>
      </c>
    </row>
    <row r="40" spans="1:13" ht="10.5">
      <c r="A40" s="600" t="s">
        <v>158</v>
      </c>
      <c r="B40" s="601"/>
      <c r="C40" s="275">
        <f>+SUM(C37:C39)</f>
        <v>0</v>
      </c>
      <c r="D40" s="275">
        <f>+SUM(D37:D39)</f>
        <v>145000</v>
      </c>
      <c r="E40" s="275">
        <f>+SUM(E37:E39)</f>
        <v>145000</v>
      </c>
      <c r="F40" s="275">
        <f aca="true" t="shared" si="10" ref="F40:M40">+SUM(F37:F39)</f>
        <v>145000</v>
      </c>
      <c r="G40" s="275">
        <f t="shared" si="10"/>
        <v>145000</v>
      </c>
      <c r="H40" s="275">
        <f t="shared" si="10"/>
        <v>265000</v>
      </c>
      <c r="I40" s="275">
        <f t="shared" si="10"/>
        <v>385000</v>
      </c>
      <c r="J40" s="275">
        <f t="shared" si="10"/>
        <v>505000</v>
      </c>
      <c r="K40" s="275">
        <f t="shared" si="10"/>
        <v>625000</v>
      </c>
      <c r="L40" s="275">
        <f t="shared" si="10"/>
        <v>745000</v>
      </c>
      <c r="M40" s="275">
        <f t="shared" si="10"/>
        <v>995000</v>
      </c>
    </row>
    <row r="41" spans="1:13" ht="10.5">
      <c r="A41" s="140" t="s">
        <v>159</v>
      </c>
      <c r="B41" s="141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42" spans="1:13" ht="10.5">
      <c r="A42" s="142" t="s">
        <v>194</v>
      </c>
      <c r="B42" s="141"/>
      <c r="C42" s="275">
        <f aca="true" t="shared" si="11" ref="C42:C48">+C14</f>
        <v>90000</v>
      </c>
      <c r="D42" s="275">
        <f aca="true" t="shared" si="12" ref="D42:E48">+C42+D14</f>
        <v>90000</v>
      </c>
      <c r="E42" s="275">
        <f t="shared" si="12"/>
        <v>90000</v>
      </c>
      <c r="F42" s="275">
        <f aca="true" t="shared" si="13" ref="F42:M42">+E42+F14</f>
        <v>90000</v>
      </c>
      <c r="G42" s="275">
        <f t="shared" si="13"/>
        <v>90000</v>
      </c>
      <c r="H42" s="275">
        <f t="shared" si="13"/>
        <v>1590000</v>
      </c>
      <c r="I42" s="275">
        <f t="shared" si="13"/>
        <v>1710000</v>
      </c>
      <c r="J42" s="275">
        <f t="shared" si="13"/>
        <v>1830000</v>
      </c>
      <c r="K42" s="275">
        <f t="shared" si="13"/>
        <v>1950000</v>
      </c>
      <c r="L42" s="275">
        <f t="shared" si="13"/>
        <v>2070000</v>
      </c>
      <c r="M42" s="275">
        <f t="shared" si="13"/>
        <v>3570000</v>
      </c>
    </row>
    <row r="43" spans="1:13" ht="10.5">
      <c r="A43" s="142" t="s">
        <v>145</v>
      </c>
      <c r="B43" s="141"/>
      <c r="C43" s="516">
        <f t="shared" si="11"/>
        <v>565000</v>
      </c>
      <c r="D43" s="516">
        <f t="shared" si="12"/>
        <v>1910000</v>
      </c>
      <c r="E43" s="516">
        <f t="shared" si="12"/>
        <v>1912000</v>
      </c>
      <c r="F43" s="516">
        <f aca="true" t="shared" si="14" ref="F43:M43">+E43+F15</f>
        <v>1912000</v>
      </c>
      <c r="G43" s="516">
        <f t="shared" si="14"/>
        <v>1912000</v>
      </c>
      <c r="H43" s="516">
        <f t="shared" si="14"/>
        <v>3412000</v>
      </c>
      <c r="I43" s="516">
        <f t="shared" si="14"/>
        <v>3414000</v>
      </c>
      <c r="J43" s="516">
        <f t="shared" si="14"/>
        <v>3414000</v>
      </c>
      <c r="K43" s="516">
        <f t="shared" si="14"/>
        <v>3414000</v>
      </c>
      <c r="L43" s="516">
        <f t="shared" si="14"/>
        <v>3414000</v>
      </c>
      <c r="M43" s="516">
        <f t="shared" si="14"/>
        <v>4914000</v>
      </c>
    </row>
    <row r="44" spans="1:13" ht="10.5">
      <c r="A44" s="142" t="s">
        <v>423</v>
      </c>
      <c r="B44" s="141"/>
      <c r="C44" s="516">
        <f t="shared" si="11"/>
        <v>0</v>
      </c>
      <c r="D44" s="516">
        <f t="shared" si="12"/>
        <v>0</v>
      </c>
      <c r="E44" s="516">
        <f t="shared" si="12"/>
        <v>0</v>
      </c>
      <c r="F44" s="516">
        <f aca="true" t="shared" si="15" ref="F44:M44">+E44+F16</f>
        <v>0</v>
      </c>
      <c r="G44" s="516">
        <f t="shared" si="15"/>
        <v>0</v>
      </c>
      <c r="H44" s="516">
        <f t="shared" si="15"/>
        <v>1500000</v>
      </c>
      <c r="I44" s="516">
        <f t="shared" si="15"/>
        <v>1560000</v>
      </c>
      <c r="J44" s="516">
        <f t="shared" si="15"/>
        <v>1620000</v>
      </c>
      <c r="K44" s="516">
        <f t="shared" si="15"/>
        <v>1680000</v>
      </c>
      <c r="L44" s="516">
        <f t="shared" si="15"/>
        <v>1740000</v>
      </c>
      <c r="M44" s="516">
        <f t="shared" si="15"/>
        <v>1800000</v>
      </c>
    </row>
    <row r="45" spans="1:13" ht="10.5">
      <c r="A45" s="142" t="s">
        <v>432</v>
      </c>
      <c r="B45" s="141"/>
      <c r="C45" s="516">
        <f t="shared" si="11"/>
        <v>165000</v>
      </c>
      <c r="D45" s="516">
        <f t="shared" si="12"/>
        <v>330000</v>
      </c>
      <c r="E45" s="516">
        <f t="shared" si="12"/>
        <v>495000</v>
      </c>
      <c r="F45" s="516">
        <f aca="true" t="shared" si="16" ref="F45:M45">+E45+F17</f>
        <v>660000</v>
      </c>
      <c r="G45" s="516">
        <f t="shared" si="16"/>
        <v>825000</v>
      </c>
      <c r="H45" s="516">
        <f t="shared" si="16"/>
        <v>825000</v>
      </c>
      <c r="I45" s="516">
        <f t="shared" si="16"/>
        <v>825000</v>
      </c>
      <c r="J45" s="516">
        <f t="shared" si="16"/>
        <v>825000</v>
      </c>
      <c r="K45" s="516">
        <f t="shared" si="16"/>
        <v>825000</v>
      </c>
      <c r="L45" s="516">
        <f t="shared" si="16"/>
        <v>825000</v>
      </c>
      <c r="M45" s="516">
        <f t="shared" si="16"/>
        <v>1650000</v>
      </c>
    </row>
    <row r="46" spans="1:13" ht="10.5">
      <c r="A46" s="142" t="s">
        <v>427</v>
      </c>
      <c r="B46" s="141"/>
      <c r="C46" s="516">
        <f t="shared" si="11"/>
        <v>10000</v>
      </c>
      <c r="D46" s="516">
        <f t="shared" si="12"/>
        <v>10000</v>
      </c>
      <c r="E46" s="516">
        <f t="shared" si="12"/>
        <v>16000</v>
      </c>
      <c r="F46" s="516">
        <f aca="true" t="shared" si="17" ref="F46:M46">+E46+F18</f>
        <v>16000</v>
      </c>
      <c r="G46" s="516">
        <f t="shared" si="17"/>
        <v>16000</v>
      </c>
      <c r="H46" s="516">
        <f t="shared" si="17"/>
        <v>26000</v>
      </c>
      <c r="I46" s="516">
        <f t="shared" si="17"/>
        <v>26000</v>
      </c>
      <c r="J46" s="516">
        <f t="shared" si="17"/>
        <v>26000</v>
      </c>
      <c r="K46" s="516">
        <f t="shared" si="17"/>
        <v>26000</v>
      </c>
      <c r="L46" s="516">
        <f t="shared" si="17"/>
        <v>26000</v>
      </c>
      <c r="M46" s="516">
        <f t="shared" si="17"/>
        <v>36000</v>
      </c>
    </row>
    <row r="47" spans="1:13" ht="10.5">
      <c r="A47" s="142" t="s">
        <v>428</v>
      </c>
      <c r="B47" s="141"/>
      <c r="C47" s="516">
        <f t="shared" si="11"/>
        <v>15000</v>
      </c>
      <c r="D47" s="516">
        <f t="shared" si="12"/>
        <v>25000</v>
      </c>
      <c r="E47" s="516">
        <f t="shared" si="12"/>
        <v>25000</v>
      </c>
      <c r="F47" s="516">
        <f aca="true" t="shared" si="18" ref="F47:M47">+E47+F19</f>
        <v>25000</v>
      </c>
      <c r="G47" s="516">
        <f t="shared" si="18"/>
        <v>25000</v>
      </c>
      <c r="H47" s="516">
        <f t="shared" si="18"/>
        <v>45000</v>
      </c>
      <c r="I47" s="516">
        <f t="shared" si="18"/>
        <v>45000</v>
      </c>
      <c r="J47" s="516">
        <f t="shared" si="18"/>
        <v>45000</v>
      </c>
      <c r="K47" s="516">
        <f t="shared" si="18"/>
        <v>45000</v>
      </c>
      <c r="L47" s="516">
        <f t="shared" si="18"/>
        <v>45000</v>
      </c>
      <c r="M47" s="516">
        <f t="shared" si="18"/>
        <v>65000</v>
      </c>
    </row>
    <row r="48" spans="1:13" ht="10.5">
      <c r="A48" s="142" t="s">
        <v>160</v>
      </c>
      <c r="B48" s="141"/>
      <c r="C48" s="516">
        <f t="shared" si="11"/>
        <v>120000</v>
      </c>
      <c r="D48" s="516">
        <f t="shared" si="12"/>
        <v>180000</v>
      </c>
      <c r="E48" s="516">
        <f t="shared" si="12"/>
        <v>360000</v>
      </c>
      <c r="F48" s="516">
        <f aca="true" t="shared" si="19" ref="F48:M48">+E48+F20</f>
        <v>360000</v>
      </c>
      <c r="G48" s="516">
        <f t="shared" si="19"/>
        <v>360000</v>
      </c>
      <c r="H48" s="516">
        <f t="shared" si="19"/>
        <v>3360000</v>
      </c>
      <c r="I48" s="516">
        <f t="shared" si="19"/>
        <v>3420000</v>
      </c>
      <c r="J48" s="516">
        <f t="shared" si="19"/>
        <v>3480000</v>
      </c>
      <c r="K48" s="516">
        <f t="shared" si="19"/>
        <v>3540000</v>
      </c>
      <c r="L48" s="516">
        <f t="shared" si="19"/>
        <v>3600000</v>
      </c>
      <c r="M48" s="516">
        <f t="shared" si="19"/>
        <v>9600000</v>
      </c>
    </row>
    <row r="49" spans="1:13" ht="10.5">
      <c r="A49" s="598" t="s">
        <v>178</v>
      </c>
      <c r="B49" s="599"/>
      <c r="C49" s="517">
        <f>+SUM(C42:C48)</f>
        <v>965000</v>
      </c>
      <c r="D49" s="517">
        <f>+SUM(D42:D48)</f>
        <v>2545000</v>
      </c>
      <c r="E49" s="517">
        <f>+SUM(E42:E48)</f>
        <v>2898000</v>
      </c>
      <c r="F49" s="517">
        <f aca="true" t="shared" si="20" ref="F49:M49">+SUM(F42:F48)</f>
        <v>3063000</v>
      </c>
      <c r="G49" s="517">
        <f t="shared" si="20"/>
        <v>3228000</v>
      </c>
      <c r="H49" s="517">
        <f t="shared" si="20"/>
        <v>10758000</v>
      </c>
      <c r="I49" s="517">
        <f t="shared" si="20"/>
        <v>11000000</v>
      </c>
      <c r="J49" s="517">
        <f t="shared" si="20"/>
        <v>11240000</v>
      </c>
      <c r="K49" s="517">
        <f t="shared" si="20"/>
        <v>11480000</v>
      </c>
      <c r="L49" s="517">
        <f t="shared" si="20"/>
        <v>11720000</v>
      </c>
      <c r="M49" s="517">
        <f t="shared" si="20"/>
        <v>21635000</v>
      </c>
    </row>
    <row r="50" spans="1:13" ht="10.5">
      <c r="A50" s="140" t="s">
        <v>174</v>
      </c>
      <c r="B50" s="141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</row>
    <row r="51" spans="1:13" ht="10.5">
      <c r="A51" s="273" t="s">
        <v>429</v>
      </c>
      <c r="B51" s="141"/>
      <c r="C51" s="152">
        <f>+C23</f>
        <v>250000</v>
      </c>
      <c r="D51" s="152">
        <f aca="true" t="shared" si="21" ref="D51:E55">+C51+D23</f>
        <v>250000</v>
      </c>
      <c r="E51" s="152">
        <f t="shared" si="21"/>
        <v>500000</v>
      </c>
      <c r="F51" s="152">
        <f aca="true" t="shared" si="22" ref="F51:M51">+E51+F23</f>
        <v>500000</v>
      </c>
      <c r="G51" s="152">
        <f t="shared" si="22"/>
        <v>750000</v>
      </c>
      <c r="H51" s="152">
        <f t="shared" si="22"/>
        <v>750000</v>
      </c>
      <c r="I51" s="152">
        <f t="shared" si="22"/>
        <v>1250000</v>
      </c>
      <c r="J51" s="152">
        <f t="shared" si="22"/>
        <v>1250000</v>
      </c>
      <c r="K51" s="152">
        <f t="shared" si="22"/>
        <v>1750000</v>
      </c>
      <c r="L51" s="152">
        <f t="shared" si="22"/>
        <v>1750000</v>
      </c>
      <c r="M51" s="152">
        <f t="shared" si="22"/>
        <v>1750000</v>
      </c>
    </row>
    <row r="52" spans="1:13" ht="10.5">
      <c r="A52" s="273" t="s">
        <v>179</v>
      </c>
      <c r="B52" s="141"/>
      <c r="C52" s="152">
        <f>+C24</f>
        <v>670000</v>
      </c>
      <c r="D52" s="152">
        <f t="shared" si="21"/>
        <v>1920000</v>
      </c>
      <c r="E52" s="152">
        <f t="shared" si="21"/>
        <v>4933280</v>
      </c>
      <c r="F52" s="152">
        <f aca="true" t="shared" si="23" ref="F52:M52">+E52+F24</f>
        <v>6753280</v>
      </c>
      <c r="G52" s="152">
        <f t="shared" si="23"/>
        <v>9024280</v>
      </c>
      <c r="H52" s="152">
        <f t="shared" si="23"/>
        <v>9814280</v>
      </c>
      <c r="I52" s="152">
        <f t="shared" si="23"/>
        <v>12879280</v>
      </c>
      <c r="J52" s="152">
        <f t="shared" si="23"/>
        <v>15509280</v>
      </c>
      <c r="K52" s="152">
        <f t="shared" si="23"/>
        <v>21104180</v>
      </c>
      <c r="L52" s="152">
        <f t="shared" si="23"/>
        <v>25924180</v>
      </c>
      <c r="M52" s="152">
        <f t="shared" si="23"/>
        <v>28004180</v>
      </c>
    </row>
    <row r="53" spans="1:13" ht="10.5">
      <c r="A53" s="273" t="s">
        <v>430</v>
      </c>
      <c r="B53" s="141"/>
      <c r="C53" s="152">
        <f>+C25</f>
        <v>60000</v>
      </c>
      <c r="D53" s="152">
        <f t="shared" si="21"/>
        <v>60000</v>
      </c>
      <c r="E53" s="152">
        <f t="shared" si="21"/>
        <v>120000</v>
      </c>
      <c r="F53" s="152">
        <f aca="true" t="shared" si="24" ref="F53:M53">+E53+F25</f>
        <v>120000</v>
      </c>
      <c r="G53" s="152">
        <f t="shared" si="24"/>
        <v>180000</v>
      </c>
      <c r="H53" s="152">
        <f t="shared" si="24"/>
        <v>180000</v>
      </c>
      <c r="I53" s="152">
        <f t="shared" si="24"/>
        <v>240000</v>
      </c>
      <c r="J53" s="152">
        <f t="shared" si="24"/>
        <v>240000</v>
      </c>
      <c r="K53" s="152">
        <f t="shared" si="24"/>
        <v>300000</v>
      </c>
      <c r="L53" s="152">
        <f t="shared" si="24"/>
        <v>300000</v>
      </c>
      <c r="M53" s="152">
        <f t="shared" si="24"/>
        <v>360000</v>
      </c>
    </row>
    <row r="54" spans="1:13" ht="10.5">
      <c r="A54" s="273" t="s">
        <v>431</v>
      </c>
      <c r="B54" s="141"/>
      <c r="C54" s="152">
        <f>+C26</f>
        <v>20000</v>
      </c>
      <c r="D54" s="152">
        <f t="shared" si="21"/>
        <v>40000</v>
      </c>
      <c r="E54" s="152">
        <f t="shared" si="21"/>
        <v>60000</v>
      </c>
      <c r="F54" s="152">
        <f aca="true" t="shared" si="25" ref="F54:M54">+E54+F26</f>
        <v>80000</v>
      </c>
      <c r="G54" s="152">
        <f t="shared" si="25"/>
        <v>100000</v>
      </c>
      <c r="H54" s="152">
        <f t="shared" si="25"/>
        <v>120000</v>
      </c>
      <c r="I54" s="152">
        <f t="shared" si="25"/>
        <v>140000</v>
      </c>
      <c r="J54" s="152">
        <f t="shared" si="25"/>
        <v>160000</v>
      </c>
      <c r="K54" s="152">
        <f t="shared" si="25"/>
        <v>180000</v>
      </c>
      <c r="L54" s="152">
        <f t="shared" si="25"/>
        <v>200000</v>
      </c>
      <c r="M54" s="152">
        <f t="shared" si="25"/>
        <v>220000</v>
      </c>
    </row>
    <row r="55" spans="1:13" ht="10.5">
      <c r="A55" s="273" t="s">
        <v>182</v>
      </c>
      <c r="B55" s="141"/>
      <c r="C55" s="152">
        <f>+C27</f>
        <v>750000</v>
      </c>
      <c r="D55" s="152">
        <f t="shared" si="21"/>
        <v>1200000</v>
      </c>
      <c r="E55" s="152">
        <f t="shared" si="21"/>
        <v>1950000</v>
      </c>
      <c r="F55" s="152">
        <f aca="true" t="shared" si="26" ref="F55:M55">+E55+F27</f>
        <v>2400000</v>
      </c>
      <c r="G55" s="152">
        <f t="shared" si="26"/>
        <v>3150000</v>
      </c>
      <c r="H55" s="152">
        <f t="shared" si="26"/>
        <v>3600000</v>
      </c>
      <c r="I55" s="152">
        <f t="shared" si="26"/>
        <v>4350000</v>
      </c>
      <c r="J55" s="152">
        <f t="shared" si="26"/>
        <v>4800000</v>
      </c>
      <c r="K55" s="152">
        <f t="shared" si="26"/>
        <v>5550000</v>
      </c>
      <c r="L55" s="152">
        <f t="shared" si="26"/>
        <v>6000000</v>
      </c>
      <c r="M55" s="152">
        <f t="shared" si="26"/>
        <v>6000000</v>
      </c>
    </row>
    <row r="56" spans="1:13" ht="10.5">
      <c r="A56" s="598" t="s">
        <v>177</v>
      </c>
      <c r="B56" s="599"/>
      <c r="C56" s="277">
        <f>+SUM(C51:C55)</f>
        <v>1750000</v>
      </c>
      <c r="D56" s="277">
        <f>+SUM(D51:D55)</f>
        <v>3470000</v>
      </c>
      <c r="E56" s="277">
        <f>+SUM(E51:E55)</f>
        <v>7563280</v>
      </c>
      <c r="F56" s="277">
        <f aca="true" t="shared" si="27" ref="F56:M56">+SUM(F51:F55)</f>
        <v>9853280</v>
      </c>
      <c r="G56" s="277">
        <f t="shared" si="27"/>
        <v>13204280</v>
      </c>
      <c r="H56" s="277">
        <f t="shared" si="27"/>
        <v>14464280</v>
      </c>
      <c r="I56" s="277">
        <f t="shared" si="27"/>
        <v>18859280</v>
      </c>
      <c r="J56" s="277">
        <f t="shared" si="27"/>
        <v>21959280</v>
      </c>
      <c r="K56" s="277">
        <f t="shared" si="27"/>
        <v>28884180</v>
      </c>
      <c r="L56" s="277">
        <f t="shared" si="27"/>
        <v>34174180</v>
      </c>
      <c r="M56" s="277">
        <f t="shared" si="27"/>
        <v>36334180</v>
      </c>
    </row>
    <row r="57" spans="1:13" ht="10.5" thickBot="1">
      <c r="A57" s="592" t="s">
        <v>193</v>
      </c>
      <c r="B57" s="592"/>
      <c r="C57" s="145">
        <f>+C40+C49+C56</f>
        <v>2715000</v>
      </c>
      <c r="D57" s="145">
        <f>+D40+D49+D56</f>
        <v>6160000</v>
      </c>
      <c r="E57" s="145">
        <f>+E40+E49+E56</f>
        <v>10606280</v>
      </c>
      <c r="F57" s="145">
        <f aca="true" t="shared" si="28" ref="F57:M57">+F40+F49+F56</f>
        <v>13061280</v>
      </c>
      <c r="G57" s="145">
        <f t="shared" si="28"/>
        <v>16577280</v>
      </c>
      <c r="H57" s="145">
        <f t="shared" si="28"/>
        <v>25487280</v>
      </c>
      <c r="I57" s="145">
        <f t="shared" si="28"/>
        <v>30244280</v>
      </c>
      <c r="J57" s="145">
        <f t="shared" si="28"/>
        <v>33704280</v>
      </c>
      <c r="K57" s="145">
        <f t="shared" si="28"/>
        <v>40989180</v>
      </c>
      <c r="L57" s="145">
        <f t="shared" si="28"/>
        <v>46639180</v>
      </c>
      <c r="M57" s="145">
        <f t="shared" si="28"/>
        <v>58964180</v>
      </c>
    </row>
    <row r="58" spans="1:13" ht="10.5" thickTop="1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ht="10.5">
      <c r="A59" s="150"/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3" ht="9.75" customHeight="1">
      <c r="A60" s="606" t="s">
        <v>293</v>
      </c>
      <c r="B60" s="607"/>
      <c r="C60" s="608"/>
      <c r="D60" s="593"/>
      <c r="E60" s="593"/>
      <c r="F60" s="593"/>
      <c r="G60" s="593"/>
      <c r="H60" s="151"/>
      <c r="I60" s="151"/>
      <c r="J60" s="151"/>
      <c r="K60" s="151"/>
      <c r="L60" s="151"/>
      <c r="M60" s="151"/>
    </row>
    <row r="61" spans="1:13" ht="10.5">
      <c r="A61" s="281" t="s">
        <v>281</v>
      </c>
      <c r="B61" s="282"/>
      <c r="C61" s="283"/>
      <c r="D61" s="593"/>
      <c r="E61" s="593"/>
      <c r="F61" s="593"/>
      <c r="G61" s="593"/>
      <c r="H61" s="151"/>
      <c r="I61" s="151"/>
      <c r="J61" s="151"/>
      <c r="K61" s="151"/>
      <c r="L61" s="151"/>
      <c r="M61" s="151"/>
    </row>
    <row r="62" spans="1:13" ht="10.5">
      <c r="A62" s="273" t="s">
        <v>283</v>
      </c>
      <c r="B62" s="141"/>
      <c r="C62" s="521">
        <v>0.04</v>
      </c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3" ht="10.5">
      <c r="A63" s="273" t="s">
        <v>284</v>
      </c>
      <c r="B63" s="141"/>
      <c r="C63" s="521">
        <v>0.2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3" ht="10.5">
      <c r="A64" s="140" t="s">
        <v>286</v>
      </c>
      <c r="B64" s="141"/>
      <c r="C64" s="514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ht="10.5">
      <c r="A65" s="273" t="s">
        <v>283</v>
      </c>
      <c r="B65" s="141"/>
      <c r="C65" s="521">
        <v>0.1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1:13" ht="10.5">
      <c r="A66" s="273" t="s">
        <v>434</v>
      </c>
      <c r="B66" s="141"/>
      <c r="C66" s="521">
        <v>0.125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</row>
    <row r="67" spans="1:13" ht="10.5">
      <c r="A67" s="273" t="s">
        <v>424</v>
      </c>
      <c r="B67" s="141"/>
      <c r="C67" s="521">
        <v>0.25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</row>
    <row r="68" spans="1:13" ht="10.5">
      <c r="A68" s="273" t="s">
        <v>425</v>
      </c>
      <c r="B68" s="141"/>
      <c r="C68" s="521">
        <v>0.2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</row>
    <row r="69" spans="1:13" ht="10.5">
      <c r="A69" s="273" t="s">
        <v>426</v>
      </c>
      <c r="B69" s="141"/>
      <c r="C69" s="521">
        <v>0.2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</row>
    <row r="70" spans="1:13" ht="10.5">
      <c r="A70" s="273" t="s">
        <v>287</v>
      </c>
      <c r="B70" s="141"/>
      <c r="C70" s="521">
        <v>0.2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</row>
    <row r="71" spans="1:13" ht="10.5">
      <c r="A71" s="140" t="s">
        <v>289</v>
      </c>
      <c r="B71" s="141"/>
      <c r="C71" s="514"/>
      <c r="D71" s="151"/>
      <c r="E71" s="151"/>
      <c r="F71" s="151"/>
      <c r="G71" s="151"/>
      <c r="H71" s="151"/>
      <c r="I71" s="151"/>
      <c r="J71" s="151"/>
      <c r="K71" s="151"/>
      <c r="L71" s="151"/>
      <c r="M71" s="151"/>
    </row>
    <row r="72" spans="1:13" ht="10.5">
      <c r="A72" s="273" t="s">
        <v>290</v>
      </c>
      <c r="B72" s="141"/>
      <c r="C72" s="515">
        <v>0.33333</v>
      </c>
      <c r="D72" s="604"/>
      <c r="E72" s="605"/>
      <c r="F72" s="605"/>
      <c r="G72" s="605"/>
      <c r="H72" s="605"/>
      <c r="I72" s="151"/>
      <c r="J72" s="151"/>
      <c r="K72" s="151"/>
      <c r="L72" s="151"/>
      <c r="M72" s="151"/>
    </row>
    <row r="73" spans="1:13" ht="10.5">
      <c r="A73" s="273" t="s">
        <v>430</v>
      </c>
      <c r="B73" s="141"/>
      <c r="C73" s="515">
        <f>100%/3</f>
        <v>0.3333333333333333</v>
      </c>
      <c r="D73" s="604"/>
      <c r="E73" s="605"/>
      <c r="F73" s="605"/>
      <c r="G73" s="605"/>
      <c r="H73" s="605"/>
      <c r="I73" s="151"/>
      <c r="J73" s="151"/>
      <c r="K73" s="151"/>
      <c r="L73" s="151"/>
      <c r="M73" s="151"/>
    </row>
    <row r="74" spans="1:13" ht="10.5">
      <c r="A74" s="273" t="s">
        <v>433</v>
      </c>
      <c r="B74" s="141"/>
      <c r="C74" s="515">
        <f>100%/3</f>
        <v>0.3333333333333333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</row>
    <row r="75" spans="1:13" ht="10.5">
      <c r="A75" s="273" t="s">
        <v>291</v>
      </c>
      <c r="B75" s="141"/>
      <c r="C75" s="515">
        <f>100%/3</f>
        <v>0.3333333333333333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</row>
    <row r="76" spans="1:13" ht="10.5">
      <c r="A76" s="150"/>
      <c r="B76" s="150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</row>
    <row r="77" spans="1:13" ht="10.5">
      <c r="A77" s="153" t="s">
        <v>196</v>
      </c>
      <c r="B77" s="154"/>
      <c r="C77" s="139">
        <f>+C7</f>
        <v>2021</v>
      </c>
      <c r="D77" s="139">
        <f aca="true" t="shared" si="29" ref="D77:M77">+C77+1</f>
        <v>2022</v>
      </c>
      <c r="E77" s="139">
        <f t="shared" si="29"/>
        <v>2023</v>
      </c>
      <c r="F77" s="139">
        <f t="shared" si="29"/>
        <v>2024</v>
      </c>
      <c r="G77" s="139">
        <f t="shared" si="29"/>
        <v>2025</v>
      </c>
      <c r="H77" s="139">
        <f t="shared" si="29"/>
        <v>2026</v>
      </c>
      <c r="I77" s="139">
        <f t="shared" si="29"/>
        <v>2027</v>
      </c>
      <c r="J77" s="139">
        <f t="shared" si="29"/>
        <v>2028</v>
      </c>
      <c r="K77" s="139">
        <f t="shared" si="29"/>
        <v>2029</v>
      </c>
      <c r="L77" s="139">
        <f t="shared" si="29"/>
        <v>2030</v>
      </c>
      <c r="M77" s="139">
        <f t="shared" si="29"/>
        <v>2031</v>
      </c>
    </row>
    <row r="78" spans="1:13" ht="10.5" hidden="1">
      <c r="A78" s="293" t="s">
        <v>154</v>
      </c>
      <c r="B78" s="141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</row>
    <row r="79" spans="1:13" ht="10.5" hidden="1">
      <c r="A79" s="285" t="s">
        <v>156</v>
      </c>
      <c r="B79" s="362">
        <f>+C62</f>
        <v>0.04</v>
      </c>
      <c r="C79" s="363">
        <f>SUM(C80:C85)</f>
        <v>0</v>
      </c>
      <c r="D79" s="363">
        <f>SUM(D80:D85)</f>
        <v>0</v>
      </c>
      <c r="E79" s="363">
        <f>SUM(E80:E85)</f>
        <v>0</v>
      </c>
      <c r="F79" s="363">
        <f aca="true" t="shared" si="30" ref="F79:K79">SUM(F80:F85)</f>
        <v>0</v>
      </c>
      <c r="G79" s="363">
        <f t="shared" si="30"/>
        <v>0</v>
      </c>
      <c r="H79" s="363">
        <f t="shared" si="30"/>
        <v>4800</v>
      </c>
      <c r="I79" s="363">
        <f t="shared" si="30"/>
        <v>4800</v>
      </c>
      <c r="J79" s="363">
        <f t="shared" si="30"/>
        <v>4800</v>
      </c>
      <c r="K79" s="363">
        <f t="shared" si="30"/>
        <v>4800</v>
      </c>
      <c r="L79" s="363">
        <f>SUM(L80:L85)</f>
        <v>4800</v>
      </c>
      <c r="M79" s="363">
        <f>SUM(M80:M85)</f>
        <v>4800</v>
      </c>
    </row>
    <row r="80" spans="1:13" ht="10.5" hidden="1">
      <c r="A80" s="288">
        <f>C77</f>
        <v>2021</v>
      </c>
      <c r="B80" s="286"/>
      <c r="C80" s="366">
        <f>+IF(C$10&lt;0,0,C$10*$B$79)/12*C$31</f>
        <v>0</v>
      </c>
      <c r="D80" s="358">
        <f>+IF(C80=0,0,+IF(ROUNDUP(SUM($C80:C80),0)&lt;$C$10,MIN(($C10-SUM($C80:C80)),$C$10*$B$79),0))</f>
        <v>0</v>
      </c>
      <c r="E80" s="358">
        <f>+IF(D80=0,0,+IF(ROUNDUP(SUM($C80:D80),0)&lt;$C$10,MIN(($C10-SUM($C80:D80)),$C$10*$B$79),0))</f>
        <v>0</v>
      </c>
      <c r="F80" s="358">
        <f>+IF(E80=0,0,+IF(ROUNDUP(SUM($C80:E80),0)&lt;$C$10,MIN(($C10-SUM($C80:E80)),$C$10*$B$79),0))</f>
        <v>0</v>
      </c>
      <c r="G80" s="358">
        <f>+IF(F80=0,0,+IF(ROUNDUP(SUM($C80:F80),0)&lt;$C$10,MIN(($C10-SUM($C80:F80)),$C$10*$B$79),0))</f>
        <v>0</v>
      </c>
      <c r="H80" s="358">
        <f>+IF(G80=0,0,+IF(ROUNDUP(SUM($C80:G80),0)&lt;$C$10,MIN(($C10-SUM($C80:G80)),$C$10*$B$79),0))</f>
        <v>0</v>
      </c>
      <c r="I80" s="358">
        <f>+IF(H80=0,0,+IF(ROUNDUP(SUM($C80:H80),0)&lt;$C$10,MIN(($C10-SUM($C80:H80)),$C$10*$B$79),0))</f>
        <v>0</v>
      </c>
      <c r="J80" s="358">
        <f>+IF(I80=0,0,+IF(ROUNDUP(SUM($C80:I80),0)&lt;$C$10,MIN(($C10-SUM($C80:I80)),$C$10*$B$79),0))</f>
        <v>0</v>
      </c>
      <c r="K80" s="358">
        <f>+IF(J80=0,0,+IF(ROUNDUP(SUM($C80:J80),0)&lt;$C$10,MIN(($C10-SUM($C80:J80)),$C$10*$B$79),0))</f>
        <v>0</v>
      </c>
      <c r="L80" s="358">
        <f>+IF(K80=0,0,+IF(ROUNDUP(SUM($C80:K80),0)&lt;$C$10,MIN(($C10-SUM($C80:K80)),$C$10*$B$79),0))</f>
        <v>0</v>
      </c>
      <c r="M80" s="358">
        <f>+IF(L80=0,0,+IF(ROUNDUP(SUM($C80:L80),0)&lt;$C$10,MIN(($C10-SUM($C80:L80)),$C$10*$B$79),0))</f>
        <v>0</v>
      </c>
    </row>
    <row r="81" spans="1:13" ht="10.5" hidden="1">
      <c r="A81" s="288">
        <f>A80+1</f>
        <v>2022</v>
      </c>
      <c r="B81" s="286"/>
      <c r="C81" s="287"/>
      <c r="D81" s="366">
        <f>+IF(D$10&lt;0,0,D$10*$B$79)/12*D$31</f>
        <v>0</v>
      </c>
      <c r="E81" s="358">
        <f>+IF(D81=0,0,+IF(ROUNDUP(SUM($D81:D81),0)&lt;$D$10,MIN(($D10-SUM($D81:D81)),$D$10*$B$79),0))</f>
        <v>0</v>
      </c>
      <c r="F81" s="358">
        <f>+IF(E81=0,0,+IF(ROUNDUP(SUM($D81:E81),0)&lt;$D$10,MIN(($D10-SUM($D81:E81)),$D$10*$B$79),0))</f>
        <v>0</v>
      </c>
      <c r="G81" s="358">
        <f>+IF(F81=0,0,+IF(ROUNDUP(SUM($D81:F81),0)&lt;$D$10,MIN(($D10-SUM($D81:F81)),$D$10*$B$79),0))</f>
        <v>0</v>
      </c>
      <c r="H81" s="358">
        <f>+IF(G81=0,0,+IF(ROUNDUP(SUM($D81:G81),0)&lt;$D$10,MIN(($D10-SUM($D81:G81)),$D$10*$B$79),0))</f>
        <v>0</v>
      </c>
      <c r="I81" s="358">
        <f>+IF(H81=0,0,+IF(ROUNDUP(SUM($D81:H81),0)&lt;$D$10,MIN(($D10-SUM($D81:H81)),$D$10*$B$79),0))</f>
        <v>0</v>
      </c>
      <c r="J81" s="358">
        <f>+IF(I81=0,0,+IF(ROUNDUP(SUM($D81:I81),0)&lt;$D$10,MIN(($D10-SUM($D81:I81)),$D$10*$B$79),0))</f>
        <v>0</v>
      </c>
      <c r="K81" s="358">
        <f>+IF(J81=0,0,+IF(ROUNDUP(SUM($D81:J81),0)&lt;$D$10,MIN(($D10-SUM($D81:J81)),$D$10*$B$79),0))</f>
        <v>0</v>
      </c>
      <c r="L81" s="358">
        <f>+IF(K81=0,0,+IF(ROUNDUP(SUM($D81:K81),0)&lt;$D$10,MIN(($D10-SUM($D81:K81)),$D$10*$B$79),0))</f>
        <v>0</v>
      </c>
      <c r="M81" s="358">
        <f>+IF(L81=0,0,+IF(ROUNDUP(SUM($D81:L81),0)&lt;$D$10,MIN(($D10-SUM($D81:L81)),$D$10*$B$79),0))</f>
        <v>0</v>
      </c>
    </row>
    <row r="82" spans="1:13" ht="10.5" hidden="1">
      <c r="A82" s="288">
        <f>A81+1</f>
        <v>2023</v>
      </c>
      <c r="B82" s="286"/>
      <c r="C82" s="287"/>
      <c r="D82" s="287"/>
      <c r="E82" s="366">
        <f>+IF(E$10&lt;0,0,E$10*$B$79)/12*E$31</f>
        <v>0</v>
      </c>
      <c r="F82" s="358">
        <f>+IF(E82=0,0,+IF(ROUNDUP(SUM($E82:E82),0)&lt;$E$10,MIN(($E10-SUM($E82:E82)),$E$10*$B$79),0))</f>
        <v>0</v>
      </c>
      <c r="G82" s="358">
        <f>+IF(F82=0,0,+IF(ROUNDUP(SUM($E82:F82),0)&lt;$E$10,MIN(($E10-SUM($E82:F82)),$E$10*$B$79),0))</f>
        <v>0</v>
      </c>
      <c r="H82" s="358">
        <f>+IF(G82=0,0,+IF(ROUNDUP(SUM($E82:G82),0)&lt;$E$10,MIN(($E10-SUM($E82:G82)),$E$10*$B$79),0))</f>
        <v>0</v>
      </c>
      <c r="I82" s="358">
        <f>+IF(H82=0,0,+IF(ROUNDUP(SUM($E82:H82),0)&lt;$E$10,MIN(($E10-SUM($E82:H82)),$E$10*$B$79),0))</f>
        <v>0</v>
      </c>
      <c r="J82" s="358">
        <f>+IF(I82=0,0,+IF(ROUNDUP(SUM($E82:I82),0)&lt;$E$10,MIN(($E10-SUM($E82:I82)),$E$10*$B$79),0))</f>
        <v>0</v>
      </c>
      <c r="K82" s="358">
        <f>+IF(J82=0,0,+IF(ROUNDUP(SUM($E82:J82),0)&lt;$E$10,MIN(($E10-SUM($E82:J82)),$E$10*$B$79),0))</f>
        <v>0</v>
      </c>
      <c r="L82" s="358">
        <f>+IF(K82=0,0,+IF(ROUNDUP(SUM($E82:K82),0)&lt;$E$10,MIN(($E10-SUM($E82:K82)),$E$10*$B$79),0))</f>
        <v>0</v>
      </c>
      <c r="M82" s="358">
        <f>+IF(L82=0,0,+IF(ROUNDUP(SUM($E82:L82),0)&lt;$E$10,MIN(($E10-SUM($E82:L82)),$E$10*$B$79),0))</f>
        <v>0</v>
      </c>
    </row>
    <row r="83" spans="1:13" ht="10.5" hidden="1">
      <c r="A83" s="288">
        <f>A82+1</f>
        <v>2024</v>
      </c>
      <c r="B83" s="286"/>
      <c r="C83" s="287"/>
      <c r="D83" s="287"/>
      <c r="E83" s="287"/>
      <c r="F83" s="366">
        <f>+IF(F$10&lt;0,0,F$10*$B$79)/12*F$31</f>
        <v>0</v>
      </c>
      <c r="G83" s="358">
        <f>+IF(F83=0,0,+IF(ROUNDUP(SUM($F83:F83),0)&lt;$F$10,MIN(($F10-SUM($F83:F83)),$F$10*$B$79),0))</f>
        <v>0</v>
      </c>
      <c r="H83" s="358">
        <f>+IF(G83=0,0,+IF(ROUNDUP(SUM($F83:G83),0)&lt;$F$10,MIN(($F10-SUM($F83:G83)),$F$10*$B$79),0))</f>
        <v>0</v>
      </c>
      <c r="I83" s="358">
        <f>+IF(H83=0,0,+IF(ROUNDUP(SUM($F83:H83),0)&lt;$F$10,MIN(($F10-SUM($F83:H83)),$F$10*$B$79),0))</f>
        <v>0</v>
      </c>
      <c r="J83" s="358">
        <f>+IF(I83=0,0,+IF(ROUNDUP(SUM($F83:I83),0)&lt;$F$10,MIN(($F10-SUM($F83:I83)),$F$10*$B$79),0))</f>
        <v>0</v>
      </c>
      <c r="K83" s="358">
        <f>+IF(J83=0,0,+IF(ROUNDUP(SUM($F83:J83),0)&lt;$F$10,MIN(($F10-SUM($F83:J83)),$F$10*$B$79),0))</f>
        <v>0</v>
      </c>
      <c r="L83" s="358">
        <f>+IF(K83=0,0,+IF(ROUNDUP(SUM($F83:K83),0)&lt;$F$10,MIN(($F10-SUM($F83:K83)),$F$10*$B$79),0))</f>
        <v>0</v>
      </c>
      <c r="M83" s="358">
        <f>+IF(L83=0,0,+IF(ROUNDUP(SUM($F83:L83),0)&lt;$F$10,MIN(($F10-SUM($F83:L83)),$F$10*$B$79),0))</f>
        <v>0</v>
      </c>
    </row>
    <row r="84" spans="1:13" ht="10.5" hidden="1">
      <c r="A84" s="288">
        <f>A83+1</f>
        <v>2025</v>
      </c>
      <c r="B84" s="286"/>
      <c r="C84" s="287"/>
      <c r="D84" s="287"/>
      <c r="E84" s="287"/>
      <c r="F84" s="287"/>
      <c r="G84" s="366">
        <f>+IF(G$10&lt;0,0,G$10*$B$79)/12*G$31</f>
        <v>0</v>
      </c>
      <c r="H84" s="358">
        <f>+IF(G84=0,0,+IF(ROUNDUP(SUM($G84:G84),0)&lt;$G$10,MIN(($G10-SUM($G84:G84)),$G$10*$B$79),0))</f>
        <v>0</v>
      </c>
      <c r="I84" s="358">
        <f>+IF(H84=0,0,+IF(ROUNDUP(SUM($G84:H84),0)&lt;$G$10,MIN(($G10-SUM($G84:H84)),$G$10*$B$79),0))</f>
        <v>0</v>
      </c>
      <c r="J84" s="358">
        <f>+IF(I84=0,0,+IF(ROUNDUP(SUM($G84:I84),0)&lt;$G$10,MIN(($G10-SUM($G84:I84)),$G$10*$B$79),0))</f>
        <v>0</v>
      </c>
      <c r="K84" s="358">
        <f>+IF(J84=0,0,+IF(ROUNDUP(SUM($G84:J84),0)&lt;$G$10,MIN(($G10-SUM($G84:J84)),$G$10*$B$79),0))</f>
        <v>0</v>
      </c>
      <c r="L84" s="358">
        <f>+IF(K84=0,0,+IF(ROUNDUP(SUM($G84:K84),0)&lt;$G$10,MIN(($G10-SUM($G84:K84)),$G$10*$B$79),0))</f>
        <v>0</v>
      </c>
      <c r="M84" s="358">
        <f>+IF(L84=0,0,+IF(ROUNDUP(SUM($G84:L84),0)&lt;$G$10,MIN(($G10-SUM($G84:L84)),$G$10*$B$79),0))</f>
        <v>0</v>
      </c>
    </row>
    <row r="85" spans="1:13" ht="10.5" hidden="1">
      <c r="A85" s="288">
        <f>A84+1</f>
        <v>2026</v>
      </c>
      <c r="B85" s="286"/>
      <c r="C85" s="287"/>
      <c r="D85" s="287"/>
      <c r="E85" s="287"/>
      <c r="F85" s="287"/>
      <c r="G85" s="287"/>
      <c r="H85" s="366">
        <f>+IF(H$10&lt;0,0,H$10*$B$79)/12*H$31</f>
        <v>4800</v>
      </c>
      <c r="I85" s="358">
        <f>+IF(H85=0,0,+IF(ROUNDUP(SUM($H85:H85),0)&lt;$H$10,MIN(($H10-SUM($H85:H85)),$H$10*$B$79),0))</f>
        <v>4800</v>
      </c>
      <c r="J85" s="358">
        <f>+IF(I85=0,0,+IF(ROUNDUP(SUM($H85:I85),0)&lt;$H$10,MIN(($H10-SUM($H85:I85)),$H$10*$B$79),0))</f>
        <v>4800</v>
      </c>
      <c r="K85" s="358">
        <f>+IF(J85=0,0,+IF(ROUNDUP(SUM($H85:J85),0)&lt;$H$10,MIN(($H10-SUM($H85:J85)),$H$10*$B$79),0))</f>
        <v>4800</v>
      </c>
      <c r="L85" s="358">
        <f>+IF(K85=0,0,+IF(ROUNDUP(SUM($H85:K85),0)&lt;$H$10,MIN(($H10-SUM($H85:K85)),$H$10*$B$79),0))</f>
        <v>4800</v>
      </c>
      <c r="M85" s="358">
        <f>+IF(L85=0,0,+IF(ROUNDUP(SUM($H85:L85),0)&lt;$H$10,MIN(($H10-SUM($H85:L85)),$H$10*$B$79),0))</f>
        <v>4800</v>
      </c>
    </row>
    <row r="86" spans="1:13" ht="10.5" hidden="1">
      <c r="A86" s="285" t="s">
        <v>157</v>
      </c>
      <c r="B86" s="362">
        <f>+C63</f>
        <v>0.2</v>
      </c>
      <c r="C86" s="363">
        <f>SUM(C87:C92)</f>
        <v>0</v>
      </c>
      <c r="D86" s="363">
        <f>SUM(D87:D92)</f>
        <v>0</v>
      </c>
      <c r="E86" s="363">
        <f>SUM(E87:E92)</f>
        <v>0</v>
      </c>
      <c r="F86" s="363">
        <f aca="true" t="shared" si="31" ref="F86:K86">SUM(F87:F92)</f>
        <v>0</v>
      </c>
      <c r="G86" s="363">
        <f t="shared" si="31"/>
        <v>0</v>
      </c>
      <c r="H86" s="363">
        <f t="shared" si="31"/>
        <v>0</v>
      </c>
      <c r="I86" s="363">
        <f t="shared" si="31"/>
        <v>0</v>
      </c>
      <c r="J86" s="363">
        <f t="shared" si="31"/>
        <v>0</v>
      </c>
      <c r="K86" s="363">
        <f t="shared" si="31"/>
        <v>0</v>
      </c>
      <c r="L86" s="363">
        <f>SUM(L87:L92)</f>
        <v>0</v>
      </c>
      <c r="M86" s="363">
        <f>SUM(M87:M92)</f>
        <v>0</v>
      </c>
    </row>
    <row r="87" spans="1:13" ht="10.5" hidden="1">
      <c r="A87" s="288">
        <f aca="true" t="shared" si="32" ref="A87:A92">A80</f>
        <v>2021</v>
      </c>
      <c r="B87" s="286"/>
      <c r="C87" s="366">
        <f>+IF($C$11&lt;0,0,C$11*$B$86)/12*C$31</f>
        <v>0</v>
      </c>
      <c r="D87" s="358">
        <f>+IF(C87=0,0,+IF(ROUNDUP(SUM($C87:C87),0)&lt;$C$11,MIN(($C11-SUM($C87:C87)),$C$11*$B$86),0))</f>
        <v>0</v>
      </c>
      <c r="E87" s="358">
        <f>+IF(D87=0,0,+IF(ROUNDUP(SUM($C87:D87),0)&lt;$C$11,MIN(($C11-SUM($C87:D87)),$C$11*$B$86),0))</f>
        <v>0</v>
      </c>
      <c r="F87" s="358">
        <f>+IF(E87=0,0,+IF(ROUNDUP(SUM($C87:E87),0)&lt;$C$11,MIN(($C11-SUM($C87:E87)),$C$11*$B$86),0))</f>
        <v>0</v>
      </c>
      <c r="G87" s="358">
        <f>+IF(F87=0,0,+IF(ROUNDUP(SUM($C87:F87),0)&lt;$C$11,MIN(($C11-SUM($C87:F87)),$C$11*$B$86),0))</f>
        <v>0</v>
      </c>
      <c r="H87" s="358">
        <f>+IF(G87=0,0,+IF(ROUNDUP(SUM($C87:G87),0)&lt;$C$11,MIN(($C11-SUM($C87:G87)),$C$11*$B$86),0))</f>
        <v>0</v>
      </c>
      <c r="I87" s="358">
        <f>+IF(H87=0,0,+IF(ROUNDUP(SUM($C87:H87),0)&lt;$C$11,MIN(($C11-SUM($C87:H87)),$C$11*$B$86),0))</f>
        <v>0</v>
      </c>
      <c r="J87" s="358">
        <f>+IF(I87=0,0,+IF(ROUNDUP(SUM($C87:I87),0)&lt;$C$11,MIN(($C11-SUM($C87:I87)),$C$11*$B$86),0))</f>
        <v>0</v>
      </c>
      <c r="K87" s="358">
        <f>+IF(J87=0,0,+IF(ROUNDUP(SUM($C87:J87),0)&lt;$C$11,MIN(($C11-SUM($C87:J87)),$C$11*$B$86),0))</f>
        <v>0</v>
      </c>
      <c r="L87" s="358">
        <f>+IF(K87=0,0,+IF(ROUNDUP(SUM($C87:K87),0)&lt;$C$11,MIN(($C11-SUM($C87:K87)),$C$11*$B$86),0))</f>
        <v>0</v>
      </c>
      <c r="M87" s="358">
        <f>+IF(L87=0,0,+IF(ROUNDUP(SUM($C87:L87),0)&lt;$C$11,MIN(($C11-SUM($C87:L87)),$C$11*$B$86),0))</f>
        <v>0</v>
      </c>
    </row>
    <row r="88" spans="1:13" ht="10.5" hidden="1">
      <c r="A88" s="288">
        <f t="shared" si="32"/>
        <v>2022</v>
      </c>
      <c r="B88" s="286"/>
      <c r="C88" s="287"/>
      <c r="D88" s="366">
        <f>+IF($C$11&lt;0,0,D$11*$B$86)/12*D$31</f>
        <v>0</v>
      </c>
      <c r="E88" s="358">
        <f>+IF(D88=0,0,+IF(ROUNDUP(SUM($D88:D88),0)&lt;$C$11,MIN(($C11-SUM($D88:D88)),$C$11*$B$86),0))</f>
        <v>0</v>
      </c>
      <c r="F88" s="358">
        <f>+IF(E88=0,0,+IF(ROUNDUP(SUM($D88:E88),0)&lt;$C$11,MIN(($C11-SUM($D88:E88)),$C$11*$B$86),0))</f>
        <v>0</v>
      </c>
      <c r="G88" s="358">
        <f>+IF(F88=0,0,+IF(ROUNDUP(SUM($D88:F88),0)&lt;$C$11,MIN(($C11-SUM($D88:F88)),$C$11*$B$86),0))</f>
        <v>0</v>
      </c>
      <c r="H88" s="358">
        <f>+IF(G88=0,0,+IF(ROUNDUP(SUM($D88:G88),0)&lt;$C$11,MIN(($C11-SUM($D88:G88)),$C$11*$B$86),0))</f>
        <v>0</v>
      </c>
      <c r="I88" s="358">
        <f>+IF(H88=0,0,+IF(ROUNDUP(SUM($D88:H88),0)&lt;$C$11,MIN(($C11-SUM($D88:H88)),$C$11*$B$86),0))</f>
        <v>0</v>
      </c>
      <c r="J88" s="358">
        <f>+IF(I88=0,0,+IF(ROUNDUP(SUM($D88:I88),0)&lt;$C$11,MIN(($C11-SUM($D88:I88)),$C$11*$B$86),0))</f>
        <v>0</v>
      </c>
      <c r="K88" s="358">
        <f>+IF(J88=0,0,+IF(ROUNDUP(SUM($D88:J88),0)&lt;$C$11,MIN(($C11-SUM($D88:J88)),$C$11*$B$86),0))</f>
        <v>0</v>
      </c>
      <c r="L88" s="358">
        <f>+IF(K88=0,0,+IF(ROUNDUP(SUM($D88:K88),0)&lt;$C$11,MIN(($C11-SUM($D88:K88)),$C$11*$B$86),0))</f>
        <v>0</v>
      </c>
      <c r="M88" s="358">
        <f>+IF(L88=0,0,+IF(ROUNDUP(SUM($D88:L88),0)&lt;$C$11,MIN(($C11-SUM($D88:L88)),$C$11*$B$86),0))</f>
        <v>0</v>
      </c>
    </row>
    <row r="89" spans="1:13" ht="10.5" hidden="1">
      <c r="A89" s="288">
        <f t="shared" si="32"/>
        <v>2023</v>
      </c>
      <c r="B89" s="286"/>
      <c r="C89" s="287"/>
      <c r="D89" s="287"/>
      <c r="E89" s="366">
        <f>+IF($C$11&lt;0,0,E$11*$B$86)/12*E$31</f>
        <v>0</v>
      </c>
      <c r="F89" s="358">
        <f>+IF(E89=0,0,+IF(ROUNDUP(SUM($E89:E89),0)&lt;$C$11,MIN(($C11-SUM($E89:E89)),$C$11*$B$86),0))</f>
        <v>0</v>
      </c>
      <c r="G89" s="358">
        <f>+IF(F89=0,0,+IF(ROUNDUP(SUM($E89:F89),0)&lt;$C$11,MIN(($C11-SUM($E89:F89)),$C$11*$B$86),0))</f>
        <v>0</v>
      </c>
      <c r="H89" s="358">
        <f>+IF(G89=0,0,+IF(ROUNDUP(SUM($E89:G89),0)&lt;$C$11,MIN(($C11-SUM($E89:G89)),$C$11*$B$86),0))</f>
        <v>0</v>
      </c>
      <c r="I89" s="358">
        <f>+IF(H89=0,0,+IF(ROUNDUP(SUM($E89:H89),0)&lt;$C$11,MIN(($C11-SUM($E89:H89)),$C$11*$B$86),0))</f>
        <v>0</v>
      </c>
      <c r="J89" s="358">
        <f>+IF(I89=0,0,+IF(ROUNDUP(SUM($E89:I89),0)&lt;$C$11,MIN(($C11-SUM($E89:I89)),$C$11*$B$86),0))</f>
        <v>0</v>
      </c>
      <c r="K89" s="358">
        <f>+IF(J89=0,0,+IF(ROUNDUP(SUM($E89:J89),0)&lt;$C$11,MIN(($C11-SUM($E89:J89)),$C$11*$B$86),0))</f>
        <v>0</v>
      </c>
      <c r="L89" s="358">
        <f>+IF(K89=0,0,+IF(ROUNDUP(SUM($E89:K89),0)&lt;$C$11,MIN(($C11-SUM($E89:K89)),$C$11*$B$86),0))</f>
        <v>0</v>
      </c>
      <c r="M89" s="358">
        <f>+IF(L89=0,0,+IF(ROUNDUP(SUM($E89:L89),0)&lt;$C$11,MIN(($C11-SUM($E89:L89)),$C$11*$B$86),0))</f>
        <v>0</v>
      </c>
    </row>
    <row r="90" spans="1:13" ht="10.5" hidden="1">
      <c r="A90" s="288">
        <f t="shared" si="32"/>
        <v>2024</v>
      </c>
      <c r="B90" s="286"/>
      <c r="C90" s="287"/>
      <c r="D90" s="287"/>
      <c r="E90" s="287"/>
      <c r="F90" s="366">
        <f>+IF($C$11&lt;0,0,F$11*$B$86)/12*F$31</f>
        <v>0</v>
      </c>
      <c r="G90" s="358">
        <f>+IF(F90=0,0,+IF(ROUNDUP(SUM($F90:F90),0)&lt;$F$11,$F$11*$B$86,0))</f>
        <v>0</v>
      </c>
      <c r="H90" s="358">
        <f>+IF(G90=0,0,+IF(ROUNDUP(SUM($F90:G90),0)&lt;$F$11,$F$11*$B$86,0))</f>
        <v>0</v>
      </c>
      <c r="I90" s="358">
        <f>+IF(H90=0,0,+IF(ROUNDUP(SUM($F90:H90),0)&lt;$F$11,$F$11*$B$86,0))</f>
        <v>0</v>
      </c>
      <c r="J90" s="358">
        <f>+IF(I90=0,0,+IF(ROUNDUP(SUM($F90:I90),0)&lt;$F$11,$F$11*$B$86,0))</f>
        <v>0</v>
      </c>
      <c r="K90" s="358">
        <f>+IF(J90=0,0,+IF(ROUNDUP(SUM($F90:J90),0)&lt;$F$11,$F$11*$B$86,0))</f>
        <v>0</v>
      </c>
      <c r="L90" s="358">
        <f>+IF(K90=0,0,+IF(ROUNDUP(SUM($F90:K90),0)&lt;$F$11,$F$11*$B$86,0))</f>
        <v>0</v>
      </c>
      <c r="M90" s="358">
        <f>+IF(L90=0,0,+IF(ROUNDUP(SUM($F90:L90),0)&lt;$F$11,$F$11*$B$86,0))</f>
        <v>0</v>
      </c>
    </row>
    <row r="91" spans="1:13" ht="10.5" hidden="1">
      <c r="A91" s="288">
        <f t="shared" si="32"/>
        <v>2025</v>
      </c>
      <c r="B91" s="286"/>
      <c r="C91" s="287"/>
      <c r="D91" s="287"/>
      <c r="E91" s="287"/>
      <c r="F91" s="287"/>
      <c r="G91" s="366">
        <f>+IF($C$11&lt;0,0,G$11*$B$86)/12*G$31</f>
        <v>0</v>
      </c>
      <c r="H91" s="358">
        <f>+IF(G91=0,0,+IF(ROUNDUP(SUM($G91:G91),0)&lt;$G$11,$G$11*$B$86,0))</f>
        <v>0</v>
      </c>
      <c r="I91" s="358">
        <f>+IF(H91=0,0,+IF(ROUNDUP(SUM($G91:H91),0)&lt;$G$11,$G$11*$B$86,0))</f>
        <v>0</v>
      </c>
      <c r="J91" s="358">
        <f>+IF(I91=0,0,+IF(ROUNDUP(SUM($G91:I91),0)&lt;$G$11,$G$11*$B$86,0))</f>
        <v>0</v>
      </c>
      <c r="K91" s="358">
        <f>+IF(J91=0,0,+IF(ROUNDUP(SUM($G91:J91),0)&lt;$G$11,$G$11*$B$86,0))</f>
        <v>0</v>
      </c>
      <c r="L91" s="358">
        <f>+IF(K91=0,0,+IF(ROUNDUP(SUM($G91:K91),0)&lt;$G$11,$G$11*$B$86,0))</f>
        <v>0</v>
      </c>
      <c r="M91" s="358">
        <f>+IF(L91=0,0,+IF(ROUNDUP(SUM($G91:L91),0)&lt;$G$11,$G$11*$B$86,0))</f>
        <v>0</v>
      </c>
    </row>
    <row r="92" spans="1:13" ht="10.5" hidden="1">
      <c r="A92" s="288">
        <f t="shared" si="32"/>
        <v>2026</v>
      </c>
      <c r="B92" s="286"/>
      <c r="C92" s="287"/>
      <c r="D92" s="287"/>
      <c r="E92" s="287"/>
      <c r="F92" s="287"/>
      <c r="G92" s="287"/>
      <c r="H92" s="366">
        <f>+IF($C$11&lt;0,0,H$11*$B$86)/12*H$31</f>
        <v>0</v>
      </c>
      <c r="I92" s="358">
        <f>+IF(H92=0,0,+IF(ROUNDUP(SUM($H92:H92),0)&lt;$H$11,$H$11*$B$86,0))</f>
        <v>0</v>
      </c>
      <c r="J92" s="358">
        <f>+IF(I92=0,0,+IF(ROUNDUP(SUM($H92:I92),0)&lt;$H$11,$H$11*$B$86,0))</f>
        <v>0</v>
      </c>
      <c r="K92" s="358">
        <f>+IF(J92=0,0,+IF(ROUNDUP(SUM($H92:J92),0)&lt;$H$11,$H$11*$B$86,0))</f>
        <v>0</v>
      </c>
      <c r="L92" s="358">
        <f>+IF(K92=0,0,+IF(ROUNDUP(SUM($H92:K92),0)&lt;$H$11,$H$11*$B$86,0))</f>
        <v>0</v>
      </c>
      <c r="M92" s="358">
        <f>+IF(L92=0,0,+IF(ROUNDUP(SUM($H92:L92),0)&lt;$H$11,$H$11*$B$86,0))</f>
        <v>0</v>
      </c>
    </row>
    <row r="93" spans="1:13" ht="10.5" hidden="1">
      <c r="A93" s="594" t="s">
        <v>30</v>
      </c>
      <c r="B93" s="595"/>
      <c r="C93" s="296">
        <f>+C79+C86</f>
        <v>0</v>
      </c>
      <c r="D93" s="296">
        <f>+D79+D86</f>
        <v>0</v>
      </c>
      <c r="E93" s="296">
        <f>+E79+E86</f>
        <v>0</v>
      </c>
      <c r="F93" s="296">
        <f aca="true" t="shared" si="33" ref="F93:K93">+F79+F86</f>
        <v>0</v>
      </c>
      <c r="G93" s="296">
        <f t="shared" si="33"/>
        <v>0</v>
      </c>
      <c r="H93" s="296">
        <f t="shared" si="33"/>
        <v>4800</v>
      </c>
      <c r="I93" s="296">
        <f t="shared" si="33"/>
        <v>4800</v>
      </c>
      <c r="J93" s="296">
        <f t="shared" si="33"/>
        <v>4800</v>
      </c>
      <c r="K93" s="296">
        <f t="shared" si="33"/>
        <v>4800</v>
      </c>
      <c r="L93" s="296">
        <f>+L79+L86</f>
        <v>4800</v>
      </c>
      <c r="M93" s="296">
        <f>+M79+M86</f>
        <v>4800</v>
      </c>
    </row>
    <row r="94" spans="1:13" ht="10.5" hidden="1">
      <c r="A94" s="293" t="s">
        <v>159</v>
      </c>
      <c r="B94" s="141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</row>
    <row r="95" spans="1:13" ht="10.5" hidden="1">
      <c r="A95" s="364" t="s">
        <v>197</v>
      </c>
      <c r="B95" s="362">
        <f>+C65</f>
        <v>0.1</v>
      </c>
      <c r="C95" s="363">
        <f>SUM(C96:C101)</f>
        <v>0</v>
      </c>
      <c r="D95" s="363">
        <f>SUM(D96:D101)</f>
        <v>0</v>
      </c>
      <c r="E95" s="363">
        <f>SUM(E96:E101)</f>
        <v>0</v>
      </c>
      <c r="F95" s="363">
        <f aca="true" t="shared" si="34" ref="F95:K95">SUM(F96:F101)</f>
        <v>0</v>
      </c>
      <c r="G95" s="363">
        <f t="shared" si="34"/>
        <v>0</v>
      </c>
      <c r="H95" s="363">
        <f t="shared" si="34"/>
        <v>150000</v>
      </c>
      <c r="I95" s="363">
        <f t="shared" si="34"/>
        <v>150000</v>
      </c>
      <c r="J95" s="363">
        <f t="shared" si="34"/>
        <v>150000</v>
      </c>
      <c r="K95" s="363">
        <f t="shared" si="34"/>
        <v>150000</v>
      </c>
      <c r="L95" s="363">
        <f>SUM(L96:L101)</f>
        <v>150000</v>
      </c>
      <c r="M95" s="363">
        <f>SUM(M96:M101)</f>
        <v>150000</v>
      </c>
    </row>
    <row r="96" spans="1:13" ht="10.5" hidden="1">
      <c r="A96" s="288">
        <f aca="true" t="shared" si="35" ref="A96:A101">A87</f>
        <v>2021</v>
      </c>
      <c r="B96" s="286"/>
      <c r="C96" s="366">
        <f>+IF(C$15&lt;0,0,C$15*$B$95)/12*C$31</f>
        <v>0</v>
      </c>
      <c r="D96" s="358">
        <f>+IF(C96=0,0,+IF(ROUNDUP(SUM($C96:C96),0)&lt;$C$15,MIN(($C15-SUM($C96:C96)),$C$15*$B$95*D31/12),0))</f>
        <v>0</v>
      </c>
      <c r="E96" s="358">
        <f>+IF(D96=0,0,+IF(ROUNDUP(SUM($C96:D96),0)&lt;$C$15,MIN(($C15-SUM($C96:D96)),$C$15*$B$95*E31/12),0))</f>
        <v>0</v>
      </c>
      <c r="F96" s="358">
        <f>+IF(E96=0,0,+IF(ROUNDUP(SUM($C96:E96),0)&lt;$C$15,MIN(($C15-SUM($C96:E96)),$C$15*$B$95*F31/12),0))</f>
        <v>0</v>
      </c>
      <c r="G96" s="358">
        <f>+IF(F96=0,0,+IF(ROUNDUP(SUM($C96:F96),0)&lt;$C$15,MIN(($C15-SUM($C96:F96)),$C$15*$B$95*G31/12),0))</f>
        <v>0</v>
      </c>
      <c r="H96" s="358">
        <f>+IF(G96=0,0,+IF(ROUNDUP(SUM($C96:G96),0)&lt;$C$15,MIN(($C15-SUM($C96:G96)),$C$15*$B$95*H31/12),0))</f>
        <v>0</v>
      </c>
      <c r="I96" s="358">
        <f>+IF(H96=0,0,+IF(ROUNDUP(SUM($C96:H96),0)&lt;$C$15,MIN(($C15-SUM($C96:H96)),$C$15*$B$95*I31/12),0))</f>
        <v>0</v>
      </c>
      <c r="J96" s="358">
        <f>+IF(I96=0,0,+IF(ROUNDUP(SUM($C96:I96),0)&lt;$C$15,MIN(($C15-SUM($C96:I96)),$C$15*$B$95*J31/12),0))</f>
        <v>0</v>
      </c>
      <c r="K96" s="358">
        <f>+IF(J96=0,0,+IF(ROUNDUP(SUM($C96:J96),0)&lt;$C$15,MIN(($C15-SUM($C96:J96)),$C$15*$B$95*K31/12),0))</f>
        <v>0</v>
      </c>
      <c r="L96" s="358">
        <f>+IF(K96=0,0,+IF(ROUNDUP(SUM($C96:K96),0)&lt;$C$15,MIN(($C15-SUM($C96:K96)),$C$15*$B$95*L31/12),0))</f>
        <v>0</v>
      </c>
      <c r="M96" s="358">
        <f>+IF(L96=0,0,+IF(ROUNDUP(SUM($C96:L96),0)&lt;$C$15,MIN(($C15-SUM($C96:L96)),$C$15*$B$95*M31/12),0))</f>
        <v>0</v>
      </c>
    </row>
    <row r="97" spans="1:13" ht="10.5" hidden="1">
      <c r="A97" s="288">
        <f t="shared" si="35"/>
        <v>2022</v>
      </c>
      <c r="B97" s="286"/>
      <c r="C97" s="287"/>
      <c r="D97" s="366">
        <f>+IF(D$15&lt;0,0,D$15*$B$95)/12*D$31</f>
        <v>0</v>
      </c>
      <c r="E97" s="358">
        <f>+IF(D97=0,0,+IF(ROUNDUP(SUM($D97:D97),0)&lt;$D$15,MIN(($D15-SUM($D97:D97)),$D$15*$B$95),0))</f>
        <v>0</v>
      </c>
      <c r="F97" s="358">
        <f>+IF(E97=0,0,+IF(ROUNDUP(SUM($D97:E97),0)&lt;$D$15,MIN(($D15-SUM($D97:E97)),$D$15*$B$95),0))</f>
        <v>0</v>
      </c>
      <c r="G97" s="358">
        <f>+IF(F97=0,0,+IF(ROUNDUP(SUM($D97:F97),0)&lt;$D$15,MIN(($D15-SUM($D97:F97)),$D$15*$B$95),0))</f>
        <v>0</v>
      </c>
      <c r="H97" s="358">
        <f>+IF(G97=0,0,+IF(ROUNDUP(SUM($D97:G97),0)&lt;$D$15,MIN(($D15-SUM($D97:G97)),$D$15*$B$95),0))</f>
        <v>0</v>
      </c>
      <c r="I97" s="358">
        <f>+IF(H97=0,0,+IF(ROUNDUP(SUM($D97:H97),0)&lt;$D$15,MIN(($D15-SUM($D97:H97)),$D$15*$B$95),0))</f>
        <v>0</v>
      </c>
      <c r="J97" s="358">
        <f>+IF(I97=0,0,+IF(ROUNDUP(SUM($D97:I97),0)&lt;$D$15,MIN(($D15-SUM($D97:I97)),$D$15*$B$95),0))</f>
        <v>0</v>
      </c>
      <c r="K97" s="358">
        <f>+IF(J97=0,0,+IF(ROUNDUP(SUM($D97:J97),0)&lt;$D$15,MIN(($D15-SUM($D97:J97)),$D$15*$B$95),0))</f>
        <v>0</v>
      </c>
      <c r="L97" s="358">
        <f>+IF(K97=0,0,+IF(ROUNDUP(SUM($D97:K97),0)&lt;$D$15,MIN(($D15-SUM($D97:K97)),$D$15*$B$95),0))</f>
        <v>0</v>
      </c>
      <c r="M97" s="358">
        <f>+IF(L97=0,0,+IF(ROUNDUP(SUM($D97:L97),0)&lt;$D$15,MIN(($D15-SUM($D97:L97)),$D$15*$B$95),0))</f>
        <v>0</v>
      </c>
    </row>
    <row r="98" spans="1:13" ht="10.5" hidden="1">
      <c r="A98" s="288">
        <f t="shared" si="35"/>
        <v>2023</v>
      </c>
      <c r="B98" s="286"/>
      <c r="C98" s="287"/>
      <c r="D98" s="287"/>
      <c r="E98" s="366">
        <f>+IF(E$15&lt;0,0,E$15*$B$95)/12*E$31</f>
        <v>0</v>
      </c>
      <c r="F98" s="358">
        <f>+IF(E98=0,0,+IF(ROUNDUP(SUM($E98:E98),0)&lt;$E$15,MIN(($E15-SUM($E98:E98)),$E$15*$B$95),0))</f>
        <v>0</v>
      </c>
      <c r="G98" s="358">
        <f>+IF(F98=0,0,+IF(ROUNDUP(SUM($E98:F98),0)&lt;$E$15,MIN(($E15-SUM($E98:F98)),$E$15*$B$95),0))</f>
        <v>0</v>
      </c>
      <c r="H98" s="358">
        <f>+IF(G98=0,0,+IF(ROUNDUP(SUM($E98:G98),0)&lt;$E$15,MIN(($E15-SUM($E98:G98)),$E$15*$B$95),0))</f>
        <v>0</v>
      </c>
      <c r="I98" s="358">
        <f>+IF(H98=0,0,+IF(ROUNDUP(SUM($E98:H98),0)&lt;$E$15,MIN(($E15-SUM($E98:H98)),$E$15*$B$95),0))</f>
        <v>0</v>
      </c>
      <c r="J98" s="358">
        <f>+IF(I98=0,0,+IF(ROUNDUP(SUM($E98:I98),0)&lt;$E$15,MIN(($E15-SUM($E98:I98)),$E$15*$B$95),0))</f>
        <v>0</v>
      </c>
      <c r="K98" s="358">
        <f>+IF(J98=0,0,+IF(ROUNDUP(SUM($E98:J98),0)&lt;$E$15,MIN(($E15-SUM($E98:J98)),$E$15*$B$95),0))</f>
        <v>0</v>
      </c>
      <c r="L98" s="358">
        <f>+IF(K98=0,0,+IF(ROUNDUP(SUM($E98:K98),0)&lt;$E$15,MIN(($E15-SUM($E98:K98)),$E$15*$B$95),0))</f>
        <v>0</v>
      </c>
      <c r="M98" s="358">
        <f>+IF(L98=0,0,+IF(ROUNDUP(SUM($E98:L98),0)&lt;$E$15,MIN(($E15-SUM($E98:L98)),$E$15*$B$95),0))</f>
        <v>0</v>
      </c>
    </row>
    <row r="99" spans="1:13" ht="10.5" hidden="1">
      <c r="A99" s="288">
        <f t="shared" si="35"/>
        <v>2024</v>
      </c>
      <c r="B99" s="286"/>
      <c r="C99" s="287"/>
      <c r="D99" s="287"/>
      <c r="E99" s="287"/>
      <c r="F99" s="366">
        <f>+IF(F$15&lt;0,0,F$15*$B$95)/12*F$31</f>
        <v>0</v>
      </c>
      <c r="G99" s="358">
        <f>+IF(F99=0,0,+IF(ROUNDUP(SUM(F99:$F99),0)&lt;$F$15,MIN(($F15-SUM($F99:F99)),$F$15*$B$95),0))</f>
        <v>0</v>
      </c>
      <c r="H99" s="358">
        <f>+IF(G99=0,0,+IF(ROUNDUP(SUM($F99:G99),0)&lt;$F$15,MIN(($F15-SUM($F99:G99)),$F$15*$B$95),0))</f>
        <v>0</v>
      </c>
      <c r="I99" s="358">
        <f>+IF(H99=0,0,+IF(ROUNDUP(SUM($F99:H99),0)&lt;$F$15,MIN(($F15-SUM($F99:H99)),$F$15*$B$95),0))</f>
        <v>0</v>
      </c>
      <c r="J99" s="358">
        <f>+IF(I99=0,0,+IF(ROUNDUP(SUM($F99:I99),0)&lt;$F$15,MIN(($F15-SUM($F99:I99)),$F$15*$B$95),0))</f>
        <v>0</v>
      </c>
      <c r="K99" s="358">
        <f>+IF(J99=0,0,+IF(ROUNDUP(SUM($F99:J99),0)&lt;$F$15,MIN(($F15-SUM($F99:J99)),$F$15*$B$95),0))</f>
        <v>0</v>
      </c>
      <c r="L99" s="358">
        <f>+IF(K99=0,0,+IF(ROUNDUP(SUM($F99:K99),0)&lt;$F$15,MIN(($F15-SUM($F99:K99)),$F$15*$B$95),0))</f>
        <v>0</v>
      </c>
      <c r="M99" s="358">
        <f>+IF(L99=0,0,+IF(ROUNDUP(SUM($F99:L99),0)&lt;$F$15,MIN(($F15-SUM($F99:L99)),$F$15*$B$95),0))</f>
        <v>0</v>
      </c>
    </row>
    <row r="100" spans="1:13" ht="10.5" hidden="1">
      <c r="A100" s="288">
        <f t="shared" si="35"/>
        <v>2025</v>
      </c>
      <c r="B100" s="286"/>
      <c r="C100" s="287"/>
      <c r="D100" s="287"/>
      <c r="E100" s="287"/>
      <c r="F100" s="287"/>
      <c r="G100" s="366">
        <f>+IF(G$15&lt;0,0,G$15*$B$95)/12*G$31</f>
        <v>0</v>
      </c>
      <c r="H100" s="358">
        <f>+IF(G100=0,0,+IF(ROUNDUP(SUM($G100:G100),0)&lt;$G$15,MIN(($G15-SUM($G100:G100)),$G$15*$B$95),0))</f>
        <v>0</v>
      </c>
      <c r="I100" s="358">
        <f>+IF(H100=0,0,+IF(ROUNDUP(SUM($G100:H100),0)&lt;$G$15,MIN(($G15-SUM($G100:H100)),$G$15*$B$95),0))</f>
        <v>0</v>
      </c>
      <c r="J100" s="358">
        <f>+IF(I100=0,0,+IF(ROUNDUP(SUM($G100:I100),0)&lt;$G$15,MIN(($G15-SUM($G100:I100)),$G$15*$B$95),0))</f>
        <v>0</v>
      </c>
      <c r="K100" s="358">
        <f>+IF(J100=0,0,+IF(ROUNDUP(SUM($G100:J100),0)&lt;$G$15,MIN(($G15-SUM($G100:J100)),$G$15*$B$95),0))</f>
        <v>0</v>
      </c>
      <c r="L100" s="358">
        <f>+IF(K100=0,0,+IF(ROUNDUP(SUM($G100:K100),0)&lt;$G$15,MIN(($G15-SUM($G100:K100)),$G$15*$B$95),0))</f>
        <v>0</v>
      </c>
      <c r="M100" s="358">
        <f>+IF(L100=0,0,+IF(ROUNDUP(SUM($G100:L100),0)&lt;$G$15,MIN(($G15-SUM($G100:L100)),$G$15*$B$95),0))</f>
        <v>0</v>
      </c>
    </row>
    <row r="101" spans="1:13" ht="10.5" hidden="1">
      <c r="A101" s="288">
        <f t="shared" si="35"/>
        <v>2026</v>
      </c>
      <c r="B101" s="286"/>
      <c r="C101" s="287"/>
      <c r="D101" s="287"/>
      <c r="E101" s="287"/>
      <c r="F101" s="287"/>
      <c r="G101" s="287"/>
      <c r="H101" s="366">
        <f>+IF(H$15&lt;0,0,H$15*$B$95)/12*H$31</f>
        <v>150000</v>
      </c>
      <c r="I101" s="358">
        <f>+IF(H101=0,0,+IF(ROUNDUP(SUM($H101:H101),0)&lt;$H$15,MIN(($H15-SUM($H101:H101)),$H$15*$B$95),0))</f>
        <v>150000</v>
      </c>
      <c r="J101" s="358">
        <f>+IF(I101=0,0,+IF(ROUNDUP(SUM($H101:I101),0)&lt;$H$15,MIN(($H15-SUM($H101:I101)),$H$15*$B$95),0))</f>
        <v>150000</v>
      </c>
      <c r="K101" s="358">
        <f>+IF(J101=0,0,+IF(ROUNDUP(SUM($H101:J101),0)&lt;$H$15,MIN(($H15-SUM($H101:J101)),$H$15*$B$95),0))</f>
        <v>150000</v>
      </c>
      <c r="L101" s="358">
        <f>+IF(K101=0,0,+IF(ROUNDUP(SUM($H101:K101),0)&lt;$H$15,MIN(($H15-SUM($H101:K101)),$H$15*$B$95),0))</f>
        <v>150000</v>
      </c>
      <c r="M101" s="358">
        <f>+IF(L101=0,0,+IF(ROUNDUP(SUM($H101:L101),0)&lt;$H$15,MIN(($H15-SUM($H101:L101)),$H$15*$B$95),0))</f>
        <v>150000</v>
      </c>
    </row>
    <row r="102" spans="1:13" ht="10.5" hidden="1">
      <c r="A102" s="364" t="s">
        <v>199</v>
      </c>
      <c r="B102" s="362">
        <f>+C66</f>
        <v>0.125</v>
      </c>
      <c r="C102" s="363">
        <f>SUM(C103:C108)</f>
        <v>0</v>
      </c>
      <c r="D102" s="363">
        <f>SUM(D103:D108)</f>
        <v>0</v>
      </c>
      <c r="E102" s="363">
        <f>SUM(E103:E108)</f>
        <v>0</v>
      </c>
      <c r="F102" s="363">
        <f aca="true" t="shared" si="36" ref="F102:K102">SUM(F103:F108)</f>
        <v>0</v>
      </c>
      <c r="G102" s="363">
        <f t="shared" si="36"/>
        <v>0</v>
      </c>
      <c r="H102" s="363">
        <f t="shared" si="36"/>
        <v>187500</v>
      </c>
      <c r="I102" s="363">
        <f t="shared" si="36"/>
        <v>187500</v>
      </c>
      <c r="J102" s="363">
        <f t="shared" si="36"/>
        <v>187500</v>
      </c>
      <c r="K102" s="363">
        <f t="shared" si="36"/>
        <v>187500</v>
      </c>
      <c r="L102" s="363">
        <f>SUM(L103:L108)</f>
        <v>187500</v>
      </c>
      <c r="M102" s="363">
        <f>SUM(M103:M108)</f>
        <v>187500</v>
      </c>
    </row>
    <row r="103" spans="1:13" ht="10.5" hidden="1">
      <c r="A103" s="288">
        <f aca="true" t="shared" si="37" ref="A103:A136">A96</f>
        <v>2021</v>
      </c>
      <c r="B103" s="286"/>
      <c r="C103" s="366">
        <f>+IF(C$16&lt;0,0,C$16*$B$102)/12*C$31</f>
        <v>0</v>
      </c>
      <c r="D103" s="358">
        <f>+IF(C103=0,0,+IF(ROUNDUP(SUM($C103:C103),0)&lt;$C16,MIN(($C$16-SUM($C103:C103)),+$C16*$B$102*D$31/12),0))</f>
        <v>0</v>
      </c>
      <c r="E103" s="358">
        <f>+IF(D103=0,0,+IF(ROUNDUP(SUM($C103:D103),0)&lt;$C16,MIN(($C$16-SUM($C103:D103)),+$C16*$B$102*E$31/12),0))</f>
        <v>0</v>
      </c>
      <c r="F103" s="358">
        <f>+IF(E103=0,0,+IF(ROUNDUP(SUM($C103:E103),0)&lt;$C16,MIN(($C$16-SUM($C103:E103)),+$C16*$B$102*F$31/12),0))</f>
        <v>0</v>
      </c>
      <c r="G103" s="358">
        <f>+IF(F103=0,0,+IF(ROUNDUP(SUM($C103:F103),0)&lt;$C16,MIN(($C$16-SUM($C103:F103)),+$C16*$B$102*G$31/12),0))</f>
        <v>0</v>
      </c>
      <c r="H103" s="358">
        <f>+IF(G103=0,0,+IF(ROUNDUP(SUM($C103:G103),0)&lt;$C16,MIN(($C$16-SUM($C103:G103)),+$C16*$B$102*H$31/12),0))</f>
        <v>0</v>
      </c>
      <c r="I103" s="358">
        <f>+IF(H103=0,0,+IF(ROUNDUP(SUM($C103:H103),0)&lt;$C16,MIN(($C$16-SUM($C103:H103)),+$C16*$B$102*I$31/12),0))</f>
        <v>0</v>
      </c>
      <c r="J103" s="358">
        <f>+IF(I103=0,0,+IF(ROUNDUP(SUM($C103:I103),0)&lt;$C16,MIN(($C$16-SUM($C103:I103)),+$C16*$B$102*J$31/12),0))</f>
        <v>0</v>
      </c>
      <c r="K103" s="358">
        <f>+IF(J103=0,0,+IF(ROUNDUP(SUM($C103:J103),0)&lt;$C16,MIN(($C$16-SUM($C103:J103)),+$C16*$B$102*K$31/12),0))</f>
        <v>0</v>
      </c>
      <c r="L103" s="358">
        <f>+IF(K103=0,0,+IF(ROUNDUP(SUM($C103:K103),0)&lt;$C16,MIN(($C$16-SUM($C103:K103)),+$C16*$B$102*L$31/12),0))</f>
        <v>0</v>
      </c>
      <c r="M103" s="358">
        <f>+IF(L103=0,0,+IF(ROUNDUP(SUM($C103:L103),0)&lt;$C16,MIN(($C$16-SUM($C103:L103)),+$C16*$B$102*M$31/12),0))</f>
        <v>0</v>
      </c>
    </row>
    <row r="104" spans="1:13" ht="10.5" hidden="1">
      <c r="A104" s="288">
        <f t="shared" si="37"/>
        <v>2022</v>
      </c>
      <c r="B104" s="286"/>
      <c r="C104" s="287"/>
      <c r="D104" s="366">
        <f>+IF(D$16&lt;0,0,D$16*$B$102)/12*D$31</f>
        <v>0</v>
      </c>
      <c r="E104" s="358">
        <f>+IF(D104=0,0,+IF(ROUNDUP(SUM($D104:D104),0)&lt;$D$16,MIN(($D$16-SUM($C104:D104)),+$D$16*$B$102),0))</f>
        <v>0</v>
      </c>
      <c r="F104" s="358">
        <f>+IF(E104=0,0,+IF(ROUNDUP(SUM($D104:E104),0)&lt;$D$16,MIN(($D$16-SUM($C104:E104)),+$D$16*$B$102),0))</f>
        <v>0</v>
      </c>
      <c r="G104" s="358">
        <f>+IF(F104=0,0,+IF(ROUNDUP(SUM($D104:F104),0)&lt;$D$16,MIN(($D$16-SUM($C104:F104)),+$D$16*$B$102),0))</f>
        <v>0</v>
      </c>
      <c r="H104" s="358">
        <f>+IF(G104=0,0,+IF(ROUNDUP(SUM($D104:G104),0)&lt;$D$16,MIN(($D$16-SUM($C104:G104)),+$D$16*$B$102),0))</f>
        <v>0</v>
      </c>
      <c r="I104" s="358">
        <f>+IF(H104=0,0,+IF(ROUNDUP(SUM($D104:H104),0)&lt;$D$16,MIN(($D$16-SUM($C104:H104)),+$D$16*$B$102),0))</f>
        <v>0</v>
      </c>
      <c r="J104" s="358">
        <f>+IF(I104=0,0,+IF(ROUNDUP(SUM($D104:I104),0)&lt;$D$16,MIN(($D$16-SUM($C104:I104)),+$D$16*$B$102),0))</f>
        <v>0</v>
      </c>
      <c r="K104" s="358">
        <f>+IF(J104=0,0,+IF(ROUNDUP(SUM($D104:J104),0)&lt;$D$16,MIN(($D$16-SUM($C104:J104)),+$D$16*$B$102),0))</f>
        <v>0</v>
      </c>
      <c r="L104" s="358">
        <f>+IF(K104=0,0,+IF(ROUNDUP(SUM($D104:K104),0)&lt;$D$16,MIN(($D$16-SUM($C104:K104)),+$D$16*$B$102),0))</f>
        <v>0</v>
      </c>
      <c r="M104" s="358">
        <f>+IF(L104=0,0,+IF(ROUNDUP(SUM($D104:L104),0)&lt;$D$16,MIN(($D$16-SUM($C104:L104)),+$D$16*$B$102),0))</f>
        <v>0</v>
      </c>
    </row>
    <row r="105" spans="1:13" ht="10.5" hidden="1">
      <c r="A105" s="288">
        <f t="shared" si="37"/>
        <v>2023</v>
      </c>
      <c r="B105" s="286"/>
      <c r="C105" s="287"/>
      <c r="D105" s="287"/>
      <c r="E105" s="366">
        <f>+IF(E$16&lt;0,0,E$16*$B$102)/12*E$31</f>
        <v>0</v>
      </c>
      <c r="F105" s="358">
        <f>+IF(E105=0,0,+IF(ROUNDUP(SUM($E105:E105),0)&lt;$E$16,MIN(($E$16-SUM($E105:E105)),+$E$16*$B$102),0))</f>
        <v>0</v>
      </c>
      <c r="G105" s="358">
        <f>+IF(F105=0,0,+IF(ROUNDUP(SUM($E105:F105),0)&lt;$E$16,MIN(($E$16-SUM($E105:F105)),+$E$16*$B$102),0))</f>
        <v>0</v>
      </c>
      <c r="H105" s="358">
        <f>+IF(G105=0,0,+IF(ROUNDUP(SUM($E105:G105),0)&lt;$E$16,MIN(($E$16-SUM($E105:G105)),+$E$16*$B$102),0))</f>
        <v>0</v>
      </c>
      <c r="I105" s="358">
        <f>+IF(H105=0,0,+IF(ROUNDUP(SUM($E105:H105),0)&lt;$E$16,MIN(($E$16-SUM($E105:H105)),+$E$16*$B$102),0))</f>
        <v>0</v>
      </c>
      <c r="J105" s="358">
        <f>+IF(I105=0,0,+IF(ROUNDUP(SUM($E105:I105),0)&lt;$E$16,MIN(($E$16-SUM($E105:I105)),+$E$16*$B$102),0))</f>
        <v>0</v>
      </c>
      <c r="K105" s="358">
        <f>+IF(J105=0,0,+IF(ROUNDUP(SUM($E105:J105),0)&lt;$E$16,MIN(($E$16-SUM($E105:J105)),+$E$16*$B$102),0))</f>
        <v>0</v>
      </c>
      <c r="L105" s="358">
        <f>+IF(K105=0,0,+IF(ROUNDUP(SUM($E105:K105),0)&lt;$E$16,MIN(($E$16-SUM($E105:K105)),+$E$16*$B$102),0))</f>
        <v>0</v>
      </c>
      <c r="M105" s="358">
        <f>+IF(L105=0,0,+IF(ROUNDUP(SUM($E105:L105),0)&lt;$E$16,MIN(($E$16-SUM($E105:L105)),+$E$16*$B$102),0))</f>
        <v>0</v>
      </c>
    </row>
    <row r="106" spans="1:13" ht="10.5" hidden="1">
      <c r="A106" s="288">
        <f t="shared" si="37"/>
        <v>2024</v>
      </c>
      <c r="B106" s="286"/>
      <c r="C106" s="287"/>
      <c r="D106" s="287"/>
      <c r="E106" s="287"/>
      <c r="F106" s="366">
        <f>+IF(F$16&lt;0,0,F$16*$B$102)/12*F$31</f>
        <v>0</v>
      </c>
      <c r="G106" s="358">
        <f>+IF(F106=0,0,+IF(ROUNDUP(SUM($F106:F106),0)&lt;$F$16,MIN(($F$16-SUM($F106:F106)),+$F$16*$B$102),0))</f>
        <v>0</v>
      </c>
      <c r="H106" s="358">
        <f>+IF(G106=0,0,+IF(ROUNDUP(SUM($F106:G106),0)&lt;$F$16,MIN(($F$16-SUM($F106:G106)),+$F$16*$B$102),0))</f>
        <v>0</v>
      </c>
      <c r="I106" s="358">
        <f>+IF(H106=0,0,+IF(ROUNDUP(SUM($F106:H106),0)&lt;$F$16,MIN(($F$16-SUM($F106:H106)),+$F$16*$B$102),0))</f>
        <v>0</v>
      </c>
      <c r="J106" s="358">
        <f>+IF(I106=0,0,+IF(ROUNDUP(SUM($F106:I106),0)&lt;$F$16,MIN(($F$16-SUM($F106:I106)),+$F$16*$B$102),0))</f>
        <v>0</v>
      </c>
      <c r="K106" s="358">
        <f>+IF(J106=0,0,+IF(ROUNDUP(SUM($F106:J106),0)&lt;$F$16,MIN(($F$16-SUM($F106:J106)),+$F$16*$B$102),0))</f>
        <v>0</v>
      </c>
      <c r="L106" s="358">
        <f>+IF(K106=0,0,+IF(ROUNDUP(SUM($F106:K106),0)&lt;$F$16,MIN(($F$16-SUM($F106:K106)),+$F$16*$B$102),0))</f>
        <v>0</v>
      </c>
      <c r="M106" s="358">
        <f>+IF(L106=0,0,+IF(ROUNDUP(SUM($F106:L106),0)&lt;$F$16,MIN(($F$16-SUM($F106:L106)),+$F$16*$B$102),0))</f>
        <v>0</v>
      </c>
    </row>
    <row r="107" spans="1:13" ht="10.5" hidden="1">
      <c r="A107" s="288">
        <f t="shared" si="37"/>
        <v>2025</v>
      </c>
      <c r="B107" s="286"/>
      <c r="C107" s="287"/>
      <c r="D107" s="287"/>
      <c r="E107" s="287"/>
      <c r="F107" s="287"/>
      <c r="G107" s="366">
        <f>+IF(G$16&lt;0,0,G$16*$B$102)/12*G$31</f>
        <v>0</v>
      </c>
      <c r="H107" s="358">
        <f>+IF(G107=0,0,+IF(ROUNDUP(SUM(G107:G107),0)&lt;G$16,MIN((G$16-SUM(G107:G107)),+G$16*$B$102),0))</f>
        <v>0</v>
      </c>
      <c r="I107" s="358">
        <f>+IF(H107=0,0,+IF(ROUNDUP(SUM($G107:H107),0)&lt;$G$16,MIN(($G$16-SUM($G107:H107)),+$G$16*$B$102),0))</f>
        <v>0</v>
      </c>
      <c r="J107" s="358">
        <f>+IF(I107=0,0,+IF(ROUNDUP(SUM($G107:I107),0)&lt;$G$16,MIN(($G$16-SUM($G107:I107)),+$G$16*$B$102),0))</f>
        <v>0</v>
      </c>
      <c r="K107" s="358">
        <f>+IF(J107=0,0,+IF(ROUNDUP(SUM($G107:J107),0)&lt;$G$16,MIN(($G$16-SUM($G107:J107)),+$G$16*$B$102),0))</f>
        <v>0</v>
      </c>
      <c r="L107" s="358">
        <f>+IF(K107=0,0,+IF(ROUNDUP(SUM($G107:K107),0)&lt;$G$16,MIN(($G$16-SUM($G107:K107)),+$G$16*$B$102),0))</f>
        <v>0</v>
      </c>
      <c r="M107" s="358">
        <f>+IF(L107=0,0,+IF(ROUNDUP(SUM($G107:L107),0)&lt;$G$16,MIN(($G$16-SUM($G107:L107)),+$G$16*$B$102),0))</f>
        <v>0</v>
      </c>
    </row>
    <row r="108" spans="1:13" ht="10.5" hidden="1">
      <c r="A108" s="288">
        <f t="shared" si="37"/>
        <v>2026</v>
      </c>
      <c r="B108" s="286"/>
      <c r="C108" s="287"/>
      <c r="D108" s="287"/>
      <c r="E108" s="287"/>
      <c r="F108" s="287"/>
      <c r="G108" s="287"/>
      <c r="H108" s="366">
        <f>+IF(H$16&lt;0,0,H$16*$B$102)/12*H$31</f>
        <v>187500</v>
      </c>
      <c r="I108" s="358">
        <f>+IF(H108=0,0,+IF(ROUNDUP(SUM($H108:H108),0)&lt;$H$16,MIN(($H$16-SUM($H108:H108)),+$H$16*$B$102),0))</f>
        <v>187500</v>
      </c>
      <c r="J108" s="358">
        <f>+IF(I108=0,0,+IF(ROUNDUP(SUM($H108:I108),0)&lt;$H$16,MIN(($H$16-SUM($H108:I108)),+$H$16*$B$102),0))</f>
        <v>187500</v>
      </c>
      <c r="K108" s="358">
        <f>+IF(J108=0,0,+IF(ROUNDUP(SUM($H108:J108),0)&lt;$H$16,MIN(($H$16-SUM($H108:J108)),+$H$16*$B$102),0))</f>
        <v>187500</v>
      </c>
      <c r="L108" s="358">
        <f>+IF(K108=0,0,+IF(ROUNDUP(SUM($H108:K108),0)&lt;$H$16,MIN(($H$16-SUM($H108:K108)),+$H$16*$B$102),0))</f>
        <v>187500</v>
      </c>
      <c r="M108" s="358">
        <f>+IF(L108=0,0,+IF(ROUNDUP(SUM($H108:L108),0)&lt;$H$16,MIN(($H$16-SUM($H108:L108)),+$H$16*$B$102),0))</f>
        <v>187500</v>
      </c>
    </row>
    <row r="109" spans="1:13" ht="10.5" hidden="1">
      <c r="A109" s="364" t="s">
        <v>200</v>
      </c>
      <c r="B109" s="362">
        <f>+C67</f>
        <v>0.25</v>
      </c>
      <c r="C109" s="365">
        <f>SUM(C110:C115)</f>
        <v>0</v>
      </c>
      <c r="D109" s="363">
        <f>SUM(D110:D115)</f>
        <v>0</v>
      </c>
      <c r="E109" s="363">
        <f>SUM(E110:E115)</f>
        <v>0</v>
      </c>
      <c r="F109" s="363">
        <f aca="true" t="shared" si="38" ref="F109:K109">SUM(F110:F115)</f>
        <v>0</v>
      </c>
      <c r="G109" s="363">
        <f t="shared" si="38"/>
        <v>41250</v>
      </c>
      <c r="H109" s="363">
        <f t="shared" si="38"/>
        <v>41250</v>
      </c>
      <c r="I109" s="363">
        <f t="shared" si="38"/>
        <v>41250</v>
      </c>
      <c r="J109" s="363">
        <f t="shared" si="38"/>
        <v>41250</v>
      </c>
      <c r="K109" s="363">
        <f t="shared" si="38"/>
        <v>0</v>
      </c>
      <c r="L109" s="363">
        <f>SUM(L110:L115)</f>
        <v>0</v>
      </c>
      <c r="M109" s="363">
        <f>SUM(M110:M115)</f>
        <v>0</v>
      </c>
    </row>
    <row r="110" spans="1:13" ht="10.5" hidden="1">
      <c r="A110" s="288">
        <f t="shared" si="37"/>
        <v>2021</v>
      </c>
      <c r="B110" s="286"/>
      <c r="C110" s="366">
        <f>+IF(C$17&lt;0,0,C$17*$B$109)/12*C$31</f>
        <v>0</v>
      </c>
      <c r="D110" s="358">
        <f>+IF(C110=0,0,+IF(ROUNDUP(SUM($C110:C110),0)&lt;$C$17,MIN(($C$17-SUM($C110:C110)),+$C$17*$B$109),0))</f>
        <v>0</v>
      </c>
      <c r="E110" s="358">
        <f>+IF(D110=0,0,+IF(ROUNDUP(SUM($C110:D110),0)&lt;$C$17,MIN(($C$17-SUM($C110:D110)),+$C$17*$B$109),0))</f>
        <v>0</v>
      </c>
      <c r="F110" s="358">
        <f>+IF(E110=0,0,+IF(ROUNDUP(SUM($C110:E110),0)&lt;$C$17,MIN(($C$17-SUM($C110:E110)),+$C$17*$B$109),0))</f>
        <v>0</v>
      </c>
      <c r="G110" s="358">
        <f>+IF(F110=0,0,+IF(ROUNDUP(SUM($C110:F110),0)&lt;$C$17,MIN(($C$17-SUM($C110:F110)),+$C$17*$B$109),0))</f>
        <v>0</v>
      </c>
      <c r="H110" s="358">
        <f>+IF(G110=0,0,+IF(ROUNDUP(SUM($C110:G110),0)&lt;$C$17,MIN(($C$17-SUM($C110:G110)),+$C$17*$B$109),0))</f>
        <v>0</v>
      </c>
      <c r="I110" s="358">
        <f>+IF(H110=0,0,+IF(ROUNDUP(SUM($C110:H110),0)&lt;$C$17,MIN(($C$17-SUM($C110:H110)),+$C$17*$B$109),0))</f>
        <v>0</v>
      </c>
      <c r="J110" s="358">
        <f>+IF(I110=0,0,+IF(ROUNDUP(SUM($C110:I110),0)&lt;$C$17,MIN(($C$17-SUM($C110:I110)),+$C$17*$B$109),0))</f>
        <v>0</v>
      </c>
      <c r="K110" s="358">
        <f>+IF(J110=0,0,+IF(ROUNDUP(SUM($C110:J110),0)&lt;$C$17,MIN(($C$17-SUM($C110:J110)),+$C$17*$B$109),0))</f>
        <v>0</v>
      </c>
      <c r="L110" s="358">
        <f>+IF(K110=0,0,+IF(ROUNDUP(SUM($C110:K110),0)&lt;$C$17,MIN(($C$17-SUM($C110:K110)),+$C$17*$B$109),0))</f>
        <v>0</v>
      </c>
      <c r="M110" s="358">
        <f>+IF(L110=0,0,+IF(ROUNDUP(SUM($C110:L110),0)&lt;$C$17,MIN(($C$17-SUM($C110:L110)),+$C$17*$B$109),0))</f>
        <v>0</v>
      </c>
    </row>
    <row r="111" spans="1:13" ht="10.5" hidden="1">
      <c r="A111" s="288">
        <f t="shared" si="37"/>
        <v>2022</v>
      </c>
      <c r="B111" s="286"/>
      <c r="C111" s="287"/>
      <c r="D111" s="366">
        <f>+IF(D$17&lt;0,0,D$17*$B$109)/12*D$31</f>
        <v>0</v>
      </c>
      <c r="E111" s="358">
        <f>+IF(D111=0,0,+IF(ROUNDUP(SUM($D111:D111),0)&lt;$D$17,MIN(($D$17-SUM($D111:D111)),+$D$17*$B$109),0))</f>
        <v>0</v>
      </c>
      <c r="F111" s="358">
        <f>+IF(E111=0,0,+IF(ROUNDUP(SUM($D111:E111),0)&lt;$D$17,MIN(($D$17-SUM($D111:E111)),+$D$17*$B$109),0))</f>
        <v>0</v>
      </c>
      <c r="G111" s="358">
        <f>+IF(F111=0,0,+IF(ROUNDUP(SUM($D111:F111),0)&lt;$D$17,MIN(($D$17-SUM($D111:F111)),+$D$17*$B$109),0))</f>
        <v>0</v>
      </c>
      <c r="H111" s="358">
        <f>+IF(G111=0,0,+IF(ROUNDUP(SUM($D111:G111),0)&lt;$D$17,MIN(($D$17-SUM($D111:G111)),+$D$17*$B$109),0))</f>
        <v>0</v>
      </c>
      <c r="I111" s="358">
        <f>+IF(H111=0,0,+IF(ROUNDUP(SUM($D111:H111),0)&lt;$D$17,MIN(($D$17-SUM($D111:H111)),+$D$17*$B$109),0))</f>
        <v>0</v>
      </c>
      <c r="J111" s="358">
        <f>+IF(I111=0,0,+IF(ROUNDUP(SUM($D111:I111),0)&lt;$D$17,MIN(($D$17-SUM($D111:I111)),+$D$17*$B$109),0))</f>
        <v>0</v>
      </c>
      <c r="K111" s="358">
        <f>+IF(J111=0,0,+IF(ROUNDUP(SUM($D111:J111),0)&lt;$D$17,MIN(($D$17-SUM($D111:J111)),+$D$17*$B$109),0))</f>
        <v>0</v>
      </c>
      <c r="L111" s="358">
        <f>+IF(K111=0,0,+IF(ROUNDUP(SUM($D111:K111),0)&lt;$D$17,MIN(($D$17-SUM($D111:K111)),+$D$17*$B$109),0))</f>
        <v>0</v>
      </c>
      <c r="M111" s="358">
        <f>+IF(L111=0,0,+IF(ROUNDUP(SUM($D111:L111),0)&lt;$D$17,MIN(($D$17-SUM($D111:L111)),+$D$17*$B$109),0))</f>
        <v>0</v>
      </c>
    </row>
    <row r="112" spans="1:13" ht="10.5" hidden="1">
      <c r="A112" s="288">
        <f t="shared" si="37"/>
        <v>2023</v>
      </c>
      <c r="B112" s="286"/>
      <c r="C112" s="287"/>
      <c r="D112" s="287"/>
      <c r="E112" s="366">
        <f>+IF(E$17&lt;0,0,E$17*$B$109)/12*E$31</f>
        <v>0</v>
      </c>
      <c r="F112" s="358">
        <f>+IF(E112=0,0,+IF(ROUNDUP(SUM($D112:E112),0)&lt;$D$17,MIN(($D$17-SUM($D112:E112)),+$D$17*$B$109),0))</f>
        <v>0</v>
      </c>
      <c r="G112" s="358">
        <f>+IF(F112=0,0,+IF(ROUNDUP(SUM($E112:F112),0)&lt;$E$17,MIN(($E$17-SUM($E112:F112)),+$E$17*$B$109),0))</f>
        <v>0</v>
      </c>
      <c r="H112" s="358">
        <f>+IF(G112=0,0,+IF(ROUNDUP(SUM($D112:G112),0)&lt;$D$17,MIN(($D$17-SUM($D112:G112)),+$D$17*$B$109),0))</f>
        <v>0</v>
      </c>
      <c r="I112" s="358">
        <f>+IF(H112=0,0,+IF(ROUNDUP(SUM($E112:H112),0)&lt;$E$17,MIN(($E$17-SUM($E112:H112)),+$E$17*$B$109),0))</f>
        <v>0</v>
      </c>
      <c r="J112" s="358">
        <f>+IF(I112=0,0,+IF(ROUNDUP(SUM($E112:I112),0)&lt;$E$17,MIN(($E$17-SUM($E112:I112)),+$E$17*$B$109),0))</f>
        <v>0</v>
      </c>
      <c r="K112" s="358">
        <f>+IF(J112=0,0,+IF(ROUNDUP(SUM($E112:J112),0)&lt;$E$17,MIN(($E$17-SUM($E112:J112)),+$E$17*$B$109),0))</f>
        <v>0</v>
      </c>
      <c r="L112" s="358">
        <f>+IF(K112=0,0,+IF(ROUNDUP(SUM($E112:K112),0)&lt;$E$17,MIN(($E$17-SUM($E112:K112)),+$E$17*$B$109),0))</f>
        <v>0</v>
      </c>
      <c r="M112" s="358">
        <f>+IF(L112=0,0,+IF(ROUNDUP(SUM($E112:L112),0)&lt;$E$17,MIN(($E$17-SUM($E112:L112)),+$E$17*$B$109),0))</f>
        <v>0</v>
      </c>
    </row>
    <row r="113" spans="1:13" ht="10.5" hidden="1">
      <c r="A113" s="288">
        <f t="shared" si="37"/>
        <v>2024</v>
      </c>
      <c r="B113" s="286"/>
      <c r="C113" s="287"/>
      <c r="D113" s="287"/>
      <c r="E113" s="287"/>
      <c r="F113" s="366">
        <f>+IF(F$17&lt;0,0,F$17*$B$109)/12*F$31</f>
        <v>0</v>
      </c>
      <c r="G113" s="358">
        <f>+IF(F113=0,0,+IF(ROUNDUP(SUM($E113:F113),0)&lt;$E$17,MIN(($E$17-SUM($E113:F113)),+$E$17*$B$109),0))</f>
        <v>0</v>
      </c>
      <c r="H113" s="358">
        <f>+IF(G113=0,0,+IF(ROUNDUP(SUM($E113:G113),0)&lt;$E$17,MIN(($E$17-SUM($E113:G113)),+$E$17*$B$109),0))</f>
        <v>0</v>
      </c>
      <c r="I113" s="358">
        <f>+IF(H113=0,0,+IF(ROUNDUP(SUM($E113:H113),0)&lt;$E$17,MIN(($E$17-SUM($E113:H113)),+$E$17*$B$109),0))</f>
        <v>0</v>
      </c>
      <c r="J113" s="358">
        <f>+IF(I113=0,0,+IF(ROUNDUP(SUM($E113:I113),0)&lt;$E$17,MIN(($E$17-SUM($E113:I113)),+$E$17*$B$109),0))</f>
        <v>0</v>
      </c>
      <c r="K113" s="358">
        <f>+IF(J113=0,0,+IF(ROUNDUP(SUM($E113:J113),0)&lt;$E$17,MIN(($E$17-SUM($E113:J113)),+$E$17*$B$109),0))</f>
        <v>0</v>
      </c>
      <c r="L113" s="358">
        <f>+IF(K113=0,0,+IF(ROUNDUP(SUM($E113:K113),0)&lt;$E$17,MIN(($E$17-SUM($E113:K113)),+$E$17*$B$109),0))</f>
        <v>0</v>
      </c>
      <c r="M113" s="358">
        <f>+IF(L113=0,0,+IF(ROUNDUP(SUM($E113:L113),0)&lt;$E$17,MIN(($E$17-SUM($E113:L113)),+$E$17*$B$109),0))</f>
        <v>0</v>
      </c>
    </row>
    <row r="114" spans="1:13" ht="10.5" hidden="1">
      <c r="A114" s="288">
        <f t="shared" si="37"/>
        <v>2025</v>
      </c>
      <c r="B114" s="286"/>
      <c r="C114" s="287"/>
      <c r="D114" s="287"/>
      <c r="E114" s="287"/>
      <c r="F114" s="287"/>
      <c r="G114" s="366">
        <f>+IF(G$17&lt;0,0,G$17*$B$109)/12*G$31</f>
        <v>41250</v>
      </c>
      <c r="H114" s="358">
        <f>+IF(G114=0,0,+IF(ROUNDUP(SUM($E114:G114),0)&lt;$E$17,MIN(($E$17-SUM($E114:G114)),+$E$17*$B$109),0))</f>
        <v>41250</v>
      </c>
      <c r="I114" s="358">
        <f>+IF(H114=0,0,+IF(ROUNDUP(SUM($E114:H114),0)&lt;$E$17,MIN(($E$17-SUM($E114:H114)),+$E$17*$B$109),0))</f>
        <v>41250</v>
      </c>
      <c r="J114" s="358">
        <f>+IF(I114=0,0,+IF(ROUNDUP(SUM($E114:I114),0)&lt;$E$17,MIN(($E$17-SUM($E114:I114)),+$E$17*$B$109),0))</f>
        <v>41250</v>
      </c>
      <c r="K114" s="358">
        <f>+IF(J114=0,0,+IF(ROUNDUP(SUM($E114:J114),0)&lt;$E$17,MIN(($E$17-SUM($E114:J114)),+$E$17*$B$109),0))</f>
        <v>0</v>
      </c>
      <c r="L114" s="358">
        <f>+IF(K114=0,0,+IF(ROUNDUP(SUM($E114:K114),0)&lt;$E$17,MIN(($E$17-SUM($E114:K114)),+$E$17*$B$109),0))</f>
        <v>0</v>
      </c>
      <c r="M114" s="358">
        <f>+IF(L114=0,0,+IF(ROUNDUP(SUM($E114:L114),0)&lt;$E$17,MIN(($E$17-SUM($E114:L114)),+$E$17*$B$109),0))</f>
        <v>0</v>
      </c>
    </row>
    <row r="115" spans="1:13" ht="10.5" hidden="1">
      <c r="A115" s="288">
        <f t="shared" si="37"/>
        <v>2026</v>
      </c>
      <c r="B115" s="289"/>
      <c r="C115" s="287"/>
      <c r="D115" s="287"/>
      <c r="E115" s="287"/>
      <c r="F115" s="287"/>
      <c r="G115" s="287"/>
      <c r="H115" s="366">
        <f>+IF(H$17&lt;0,0,H$17*$B$109)/12*H$31</f>
        <v>0</v>
      </c>
      <c r="I115" s="358">
        <f>+IF(H115=0,0,+IF(ROUNDUP(SUM($E115:H115),0)&lt;$E$17,MIN(($E$17-SUM($E115:H115)),+$E$17*$B$109),0))</f>
        <v>0</v>
      </c>
      <c r="J115" s="358">
        <f>+IF(I115=0,0,+IF(ROUNDUP(SUM($E115:I115),0)&lt;$E$17,MIN(($E$17-SUM($E115:I115)),+$E$17*$B$109),0))</f>
        <v>0</v>
      </c>
      <c r="K115" s="358">
        <f>+IF(J115=0,0,+IF(ROUNDUP(SUM($E115:J115),0)&lt;$E$17,MIN(($E$17-SUM($E115:J115)),+$E$17*$B$109),0))</f>
        <v>0</v>
      </c>
      <c r="L115" s="358">
        <f>+IF(K115=0,0,+IF(ROUNDUP(SUM($E115:K115),0)&lt;$E$17,MIN(($E$17-SUM($E115:K115)),+$E$17*$B$109),0))</f>
        <v>0</v>
      </c>
      <c r="M115" s="358">
        <f>+IF(L115=0,0,+IF(ROUNDUP(SUM($E115:L115),0)&lt;$E$17,MIN(($E$17-SUM($E115:L115)),+$E$17*$B$109),0))</f>
        <v>0</v>
      </c>
    </row>
    <row r="116" spans="1:13" ht="10.5" hidden="1">
      <c r="A116" s="364" t="s">
        <v>201</v>
      </c>
      <c r="B116" s="362">
        <f>+C68</f>
        <v>0.2</v>
      </c>
      <c r="C116" s="365">
        <f>SUM(C117:C122)</f>
        <v>0</v>
      </c>
      <c r="D116" s="363">
        <f>SUM(D117:D122)</f>
        <v>0</v>
      </c>
      <c r="E116" s="363">
        <f>SUM(E117:E122)</f>
        <v>0</v>
      </c>
      <c r="F116" s="363">
        <f aca="true" t="shared" si="39" ref="F116:K116">SUM(F117:F122)</f>
        <v>0</v>
      </c>
      <c r="G116" s="363">
        <f t="shared" si="39"/>
        <v>0</v>
      </c>
      <c r="H116" s="363">
        <f t="shared" si="39"/>
        <v>2000</v>
      </c>
      <c r="I116" s="363">
        <f t="shared" si="39"/>
        <v>1200</v>
      </c>
      <c r="J116" s="363">
        <f t="shared" si="39"/>
        <v>1200</v>
      </c>
      <c r="K116" s="363">
        <f t="shared" si="39"/>
        <v>1200</v>
      </c>
      <c r="L116" s="363">
        <f>SUM(L117:L122)</f>
        <v>400</v>
      </c>
      <c r="M116" s="363">
        <f>SUM(M117:M122)</f>
        <v>0</v>
      </c>
    </row>
    <row r="117" spans="1:13" ht="10.5" hidden="1">
      <c r="A117" s="288">
        <f t="shared" si="37"/>
        <v>2021</v>
      </c>
      <c r="B117" s="286"/>
      <c r="C117" s="366">
        <f>+IF(C$18&lt;0,0,C$18*$B$116)/12*C$31</f>
        <v>0</v>
      </c>
      <c r="D117" s="358">
        <f>+IF(C117=0,0,+IF(ROUNDUP(SUM($C117:C117),0)&lt;$C18,MIN(($C18-SUM($C117:C117)),+$C18*$B$116),0))</f>
        <v>0</v>
      </c>
      <c r="E117" s="358">
        <f>+IF(D117=0,0,+IF(ROUNDUP(SUM($C117:D117),0)&lt;$C18,MIN(($C18-SUM($C117:D117)),+$C18*$B$116),0))</f>
        <v>0</v>
      </c>
      <c r="F117" s="358">
        <f>+IF(E117=0,0,+IF(ROUNDUP(SUM($C117:E117),0)&lt;$C18,MIN(($C18-SUM($C117:E117)),+$C18*$B$116),0))</f>
        <v>0</v>
      </c>
      <c r="G117" s="358">
        <f>+IF(F117=0,0,+IF(ROUNDUP(SUM($C117:F117),0)&lt;$C18,MIN(($C18-SUM($C117:F117)),+$C18*$B$116),0))</f>
        <v>0</v>
      </c>
      <c r="H117" s="358">
        <f>+IF(G117=0,0,+IF(ROUNDUP(SUM($C117:G117),0)&lt;$C18,MIN(($C18-SUM($C117:G117)),+$C18*$B$116),0))</f>
        <v>0</v>
      </c>
      <c r="I117" s="358">
        <f>+IF(H117=0,0,+IF(ROUNDUP(SUM($C117:H117),0)&lt;$C18,MIN(($C18-SUM($C117:H117)),+$C18*$B$116),0))</f>
        <v>0</v>
      </c>
      <c r="J117" s="358">
        <f>+IF(I117=0,0,+IF(ROUNDUP(SUM($C117:I117),0)&lt;$C18,MIN(($C18-SUM($C117:I117)),+$C18*$B$116),0))</f>
        <v>0</v>
      </c>
      <c r="K117" s="358">
        <f>+IF(J117=0,0,+IF(ROUNDUP(SUM($C117:J117),0)&lt;$C18,MIN(($C18-SUM($C117:J117)),+$C18*$B$116),0))</f>
        <v>0</v>
      </c>
      <c r="L117" s="358">
        <f>+IF(K117=0,0,+IF(ROUNDUP(SUM($C117:K117),0)&lt;$C18,MIN(($C18-SUM($C117:K117)),+$C18*$B$116),0))</f>
        <v>0</v>
      </c>
      <c r="M117" s="358">
        <f>+IF(L117=0,0,+IF(ROUNDUP(SUM($C117:L117),0)&lt;$C18,MIN(($C18-SUM($C117:L117)),+$C18*$B$116),0))</f>
        <v>0</v>
      </c>
    </row>
    <row r="118" spans="1:13" ht="10.5" hidden="1">
      <c r="A118" s="288">
        <f t="shared" si="37"/>
        <v>2022</v>
      </c>
      <c r="B118" s="286"/>
      <c r="C118" s="287"/>
      <c r="D118" s="366">
        <f>+IF(D$18&lt;0,0,D$18*$B$116)/12*D$31</f>
        <v>0</v>
      </c>
      <c r="E118" s="358">
        <f>+IF(D118=0,0,+IF(ROUNDUP(SUM($D118:D118),0)&lt;$D$18,MIN(($D$18-SUM($D118:D118)),+$D$18*$B$116),0))</f>
        <v>0</v>
      </c>
      <c r="F118" s="358">
        <f>+IF(E118=0,0,+IF(ROUNDUP(SUM($D118:E118),0)&lt;$D$18,MIN(($D$18-SUM($D118:E118)),+$D$18*$B$116),0))</f>
        <v>0</v>
      </c>
      <c r="G118" s="358">
        <f>+IF(F118=0,0,+IF(ROUNDUP(SUM($D118:F118),0)&lt;$D$18,MIN(($D$18-SUM($D118:F118)),+$D$18*$B$116),0))</f>
        <v>0</v>
      </c>
      <c r="H118" s="358">
        <f>+IF(G118=0,0,+IF(ROUNDUP(SUM($D118:G118),0)&lt;$D$18,MIN(($D$18-SUM($D118:G118)),+$D$18*$B$116),0))</f>
        <v>0</v>
      </c>
      <c r="I118" s="358">
        <f>+IF(H118=0,0,+IF(ROUNDUP(SUM($D118:H118),0)&lt;$D$18,MIN(($D$18-SUM($D118:H118)),+$D$18*$B$116),0))</f>
        <v>0</v>
      </c>
      <c r="J118" s="358">
        <f>+IF(I118=0,0,+IF(ROUNDUP(SUM($D118:I118),0)&lt;$D$18,MIN(($D$18-SUM($D118:I118)),+$D$18*$B$116),0))</f>
        <v>0</v>
      </c>
      <c r="K118" s="358">
        <f>+IF(J118=0,0,+IF(ROUNDUP(SUM($D118:J118),0)&lt;$D$18,MIN(($D$18-SUM($D118:J118)),+$D$18*$B$116),0))</f>
        <v>0</v>
      </c>
      <c r="L118" s="358">
        <f>+IF(K118=0,0,+IF(ROUNDUP(SUM($D118:K118),0)&lt;$D$18,MIN(($D$18-SUM($D118:K118)),+$D$18*$B$116),0))</f>
        <v>0</v>
      </c>
      <c r="M118" s="358">
        <f>+IF(L118=0,0,+IF(ROUNDUP(SUM($D118:L118),0)&lt;$D$18,MIN(($D$18-SUM($D118:L118)),+$D$18*$B$116),0))</f>
        <v>0</v>
      </c>
    </row>
    <row r="119" spans="1:13" ht="10.5" hidden="1">
      <c r="A119" s="288">
        <f t="shared" si="37"/>
        <v>2023</v>
      </c>
      <c r="B119" s="286"/>
      <c r="C119" s="287"/>
      <c r="D119" s="287"/>
      <c r="E119" s="366">
        <f>+IF(E$18&lt;0,0,E$18*$B$116)/12*E$31</f>
        <v>0</v>
      </c>
      <c r="F119" s="358">
        <f>+IF(E119=0,0,+IF(ROUNDUP(SUM($E119:E119),0)&lt;$E$18,MIN(($E$18-SUM($E119:E119)),+$E$18*$B$116),0))</f>
        <v>0</v>
      </c>
      <c r="G119" s="358">
        <f>+IF(F119=0,0,+IF(ROUNDUP(SUM($E119:F119),0)&lt;$E$18,MIN(($E$18-SUM($E119:F119)),+$E$18*$B$116),0))</f>
        <v>0</v>
      </c>
      <c r="H119" s="358">
        <f>+IF(G119=0,0,+IF(ROUNDUP(SUM($E119:G119),0)&lt;$E$18,MIN(($E$18-SUM($E119:G119)),+$E$18*$B$116),0))</f>
        <v>0</v>
      </c>
      <c r="I119" s="358">
        <f>+IF(H119=0,0,+IF(ROUNDUP(SUM($E119:H119),0)&lt;$E$18,MIN(($E$18-SUM($E119:H119)),+$E$18*$B$116),0))</f>
        <v>0</v>
      </c>
      <c r="J119" s="358">
        <f>+IF(I119=0,0,+IF(ROUNDUP(SUM($E119:I119),0)&lt;$E$18,MIN(($E$18-SUM($E119:I119)),+$E$18*$B$116),0))</f>
        <v>0</v>
      </c>
      <c r="K119" s="358">
        <f>+IF(J119=0,0,+IF(ROUNDUP(SUM($E119:J119),0)&lt;$E$18,MIN(($E$18-SUM($E119:J119)),+$E$18*$B$116),0))</f>
        <v>0</v>
      </c>
      <c r="L119" s="358">
        <f>+IF(K119=0,0,+IF(ROUNDUP(SUM($E119:K119),0)&lt;$E$18,MIN(($E$18-SUM($E119:K119)),+$E$18*$B$116),0))</f>
        <v>0</v>
      </c>
      <c r="M119" s="358">
        <f>+IF(L119=0,0,+IF(ROUNDUP(SUM($E119:L119),0)&lt;$E$18,MIN(($E$18-SUM($E119:L119)),+$E$18*$B$116),0))</f>
        <v>0</v>
      </c>
    </row>
    <row r="120" spans="1:13" ht="10.5" hidden="1">
      <c r="A120" s="288">
        <f t="shared" si="37"/>
        <v>2024</v>
      </c>
      <c r="B120" s="286"/>
      <c r="C120" s="287"/>
      <c r="D120" s="287"/>
      <c r="E120" s="287"/>
      <c r="F120" s="366">
        <f>+IF(F$18&lt;0,0,F$18*$B$116)/12*F$31</f>
        <v>0</v>
      </c>
      <c r="G120" s="358">
        <f>+IF(F120=0,0,+IF(ROUNDUP(SUM($E120:F120),0)&lt;$E$18,MIN(($E$18-SUM($E120:F120)),+$E$18*$B$116),0))</f>
        <v>0</v>
      </c>
      <c r="H120" s="358">
        <f>+IF(G120=0,0,+IF(ROUNDUP(SUM($E120:G120),0)&lt;$E$18,MIN(($E$18-SUM($E120:G120)),+$E$18*$B$116),0))</f>
        <v>0</v>
      </c>
      <c r="I120" s="358">
        <f>+IF(H120=0,0,+IF(ROUNDUP(SUM($E120:H120),0)&lt;$E$18,MIN(($E$18-SUM($E120:H120)),+$E$18*$B$116),0))</f>
        <v>0</v>
      </c>
      <c r="J120" s="358">
        <f>+IF(I120=0,0,+IF(ROUNDUP(SUM($E120:I120),0)&lt;$E$18,MIN(($E$18-SUM($E120:I120)),+$E$18*$B$116),0))</f>
        <v>0</v>
      </c>
      <c r="K120" s="358">
        <f>+IF(J120=0,0,+IF(ROUNDUP(SUM($E120:J120),0)&lt;$E$18,MIN(($E$18-SUM($E120:J120)),+$E$18*$B$116),0))</f>
        <v>0</v>
      </c>
      <c r="L120" s="358">
        <f>+IF(K120=0,0,+IF(ROUNDUP(SUM($E120:K120),0)&lt;$E$18,MIN(($E$18-SUM($E120:K120)),+$E$18*$B$116),0))</f>
        <v>0</v>
      </c>
      <c r="M120" s="358">
        <f>+IF(L120=0,0,+IF(ROUNDUP(SUM($E120:L120),0)&lt;$E$18,MIN(($E$18-SUM($E120:L120)),+$E$18*$B$116),0))</f>
        <v>0</v>
      </c>
    </row>
    <row r="121" spans="1:13" ht="10.5" hidden="1">
      <c r="A121" s="288">
        <f t="shared" si="37"/>
        <v>2025</v>
      </c>
      <c r="B121" s="286"/>
      <c r="C121" s="287"/>
      <c r="D121" s="287"/>
      <c r="E121" s="287"/>
      <c r="F121" s="287"/>
      <c r="G121" s="366">
        <f>+IF(G$18&lt;0,0,G$18*$B$116)/12*G$31</f>
        <v>0</v>
      </c>
      <c r="H121" s="358">
        <f>+IF(G121=0,0,+IF(ROUNDUP(SUM($E121:G121),0)&lt;$E$18,MIN(($E$18-SUM($E121:G121)),+$E$18*$B$116),0))</f>
        <v>0</v>
      </c>
      <c r="I121" s="358">
        <f>+IF(H121=0,0,+IF(ROUNDUP(SUM($E121:H121),0)&lt;$E$18,MIN(($E$18-SUM($E121:H121)),+$E$18*$B$116),0))</f>
        <v>0</v>
      </c>
      <c r="J121" s="358">
        <f>+IF(I121=0,0,+IF(ROUNDUP(SUM($E121:I121),0)&lt;$E$18,MIN(($E$18-SUM($E121:I121)),+$E$18*$B$116),0))</f>
        <v>0</v>
      </c>
      <c r="K121" s="358">
        <f>+IF(J121=0,0,+IF(ROUNDUP(SUM($E121:J121),0)&lt;$E$18,MIN(($E$18-SUM($E121:J121)),+$E$18*$B$116),0))</f>
        <v>0</v>
      </c>
      <c r="L121" s="358">
        <f>+IF(K121=0,0,+IF(ROUNDUP(SUM($E121:K121),0)&lt;$E$18,MIN(($E$18-SUM($E121:K121)),+$E$18*$B$116),0))</f>
        <v>0</v>
      </c>
      <c r="M121" s="358">
        <f>+IF(L121=0,0,+IF(ROUNDUP(SUM($E121:L121),0)&lt;$E$18,MIN(($E$18-SUM($E121:L121)),+$E$18*$B$116),0))</f>
        <v>0</v>
      </c>
    </row>
    <row r="122" spans="1:13" ht="10.5" hidden="1">
      <c r="A122" s="288">
        <f t="shared" si="37"/>
        <v>2026</v>
      </c>
      <c r="B122" s="289"/>
      <c r="C122" s="287"/>
      <c r="D122" s="287"/>
      <c r="E122" s="287"/>
      <c r="F122" s="287"/>
      <c r="G122" s="287"/>
      <c r="H122" s="366">
        <f>+IF(H$18&lt;0,0,H$18*$B$116)/12*H$31</f>
        <v>2000</v>
      </c>
      <c r="I122" s="358">
        <f>+IF(H122=0,0,+IF(ROUNDUP(SUM($E122:H122),0)&lt;$E$18,MIN(($E$18-SUM($E122:H122)),+$E$18*$B$116),0))</f>
        <v>1200</v>
      </c>
      <c r="J122" s="358">
        <f>+IF(I122=0,0,+IF(ROUNDUP(SUM($E122:I122),0)&lt;$E$18,MIN(($E$18-SUM($E122:I122)),+$E$18*$B$116),0))</f>
        <v>1200</v>
      </c>
      <c r="K122" s="358">
        <f>+IF(J122=0,0,+IF(ROUNDUP(SUM($E122:J122),0)&lt;$E$18,MIN(($E$18-SUM($E122:J122)),+$E$18*$B$116),0))</f>
        <v>1200</v>
      </c>
      <c r="L122" s="358">
        <f>+IF(K122=0,0,+IF(ROUNDUP(SUM($E122:K122),0)&lt;$E$18,MIN(($E$18-SUM($E122:K122)),+$E$18*$B$116),0))</f>
        <v>400</v>
      </c>
      <c r="M122" s="358">
        <f>+IF(L122=0,0,+IF(ROUNDUP(SUM($E122:L122),0)&lt;$E$18,MIN(($E$18-SUM($E122:L122)),+$E$18*$B$116),0))</f>
        <v>0</v>
      </c>
    </row>
    <row r="123" spans="1:13" ht="10.5" hidden="1">
      <c r="A123" s="364" t="s">
        <v>202</v>
      </c>
      <c r="B123" s="362">
        <f>+C69</f>
        <v>0.2</v>
      </c>
      <c r="C123" s="365">
        <f>SUM(C124:C129)</f>
        <v>0</v>
      </c>
      <c r="D123" s="363">
        <f>SUM(D124:D129)</f>
        <v>0</v>
      </c>
      <c r="E123" s="363">
        <f>SUM(E124:E129)</f>
        <v>0</v>
      </c>
      <c r="F123" s="363">
        <f aca="true" t="shared" si="40" ref="F123:K123">SUM(F124:F129)</f>
        <v>0</v>
      </c>
      <c r="G123" s="363">
        <f t="shared" si="40"/>
        <v>0</v>
      </c>
      <c r="H123" s="363">
        <f t="shared" si="40"/>
        <v>4000</v>
      </c>
      <c r="I123" s="363">
        <f t="shared" si="40"/>
        <v>4000</v>
      </c>
      <c r="J123" s="363">
        <f t="shared" si="40"/>
        <v>4000</v>
      </c>
      <c r="K123" s="363">
        <f t="shared" si="40"/>
        <v>4000</v>
      </c>
      <c r="L123" s="363">
        <f>SUM(L124:L129)</f>
        <v>4000</v>
      </c>
      <c r="M123" s="363">
        <f>SUM(M124:M129)</f>
        <v>0</v>
      </c>
    </row>
    <row r="124" spans="1:13" ht="10.5" hidden="1">
      <c r="A124" s="288">
        <f t="shared" si="37"/>
        <v>2021</v>
      </c>
      <c r="B124" s="286"/>
      <c r="C124" s="366">
        <f>+IF(C$19&lt;0,0,C$19*$B$123)/12*C$31</f>
        <v>0</v>
      </c>
      <c r="D124" s="358">
        <f>+IF(C124=0,0,+IF(ROUNDUP(SUM($C124:C124),0)&lt;$C$19,MIN(($C$19-SUM($C124:C124)),+$C$19*$B$123),0))</f>
        <v>0</v>
      </c>
      <c r="E124" s="358">
        <f>+IF(D124=0,0,+IF(ROUNDUP(SUM($C124:D124),0)&lt;$C$19,MIN(($C$19-SUM($C124:D124)),+$C$19*$B$123),0))</f>
        <v>0</v>
      </c>
      <c r="F124" s="358">
        <f>+IF(E124=0,0,+IF(ROUNDUP(SUM($C124:E124),0)&lt;$C$19,MIN(($C$19-SUM($C124:E124)),+$C$19*$B$123),0))</f>
        <v>0</v>
      </c>
      <c r="G124" s="358">
        <f>+IF(F124=0,0,+IF(ROUNDUP(SUM($C124:F124),0)&lt;$C$19,MIN(($C$19-SUM($C124:F124)),+$C$19*$B$123),0))</f>
        <v>0</v>
      </c>
      <c r="H124" s="358">
        <f>+IF(G124=0,0,+IF(ROUNDUP(SUM($C124:G124),0)&lt;$C$19,MIN(($C$19-SUM($C124:G124)),+$C$19*$B$123),0))</f>
        <v>0</v>
      </c>
      <c r="I124" s="358">
        <f>+IF(H124=0,0,+IF(ROUNDUP(SUM($C124:H124),0)&lt;$C$19,MIN(($C$19-SUM($C124:H124)),+$C$19*$B$123),0))</f>
        <v>0</v>
      </c>
      <c r="J124" s="358">
        <f>+IF(I124=0,0,+IF(ROUNDUP(SUM($C124:I124),0)&lt;$C$19,MIN(($C$19-SUM($C124:I124)),+$C$19*$B$123),0))</f>
        <v>0</v>
      </c>
      <c r="K124" s="358">
        <f>+IF(J124=0,0,+IF(ROUNDUP(SUM($C124:J124),0)&lt;$C$19,MIN(($C$19-SUM($C124:J124)),+$C$19*$B$123),0))</f>
        <v>0</v>
      </c>
      <c r="L124" s="358">
        <f>+IF(K124=0,0,+IF(ROUNDUP(SUM($C124:K124),0)&lt;$C$19,MIN(($C$19-SUM($C124:K124)),+$C$19*$B$123),0))</f>
        <v>0</v>
      </c>
      <c r="M124" s="358">
        <f>+IF(L124=0,0,+IF(ROUNDUP(SUM($C124:L124),0)&lt;$C$19,MIN(($C$19-SUM($C124:L124)),+$C$19*$B$123),0))</f>
        <v>0</v>
      </c>
    </row>
    <row r="125" spans="1:13" ht="10.5" hidden="1">
      <c r="A125" s="288">
        <f t="shared" si="37"/>
        <v>2022</v>
      </c>
      <c r="B125" s="286"/>
      <c r="C125" s="287"/>
      <c r="D125" s="366">
        <f>+IF(D$19&lt;0,0,D$19*$B$123)/12*D$31</f>
        <v>0</v>
      </c>
      <c r="E125" s="358">
        <f>+IF(D125=0,0,+IF(ROUNDUP(SUM($D125:D125),0)&lt;$D$19,MIN(($D$19-SUM($D125:D125)),+$D$19*$B$123),0))</f>
        <v>0</v>
      </c>
      <c r="F125" s="358">
        <f>+IF(E125=0,0,+IF(ROUNDUP(SUM($D125:E125),0)&lt;$D$19,MIN(($D$19-SUM($D125:E125)),+$D$19*$B$123),0))</f>
        <v>0</v>
      </c>
      <c r="G125" s="358">
        <f>+IF(F125=0,0,+IF(ROUNDUP(SUM($D125:F125),0)&lt;$D$19,MIN(($D$19-SUM($D125:F125)),+$D$19*$B$123),0))</f>
        <v>0</v>
      </c>
      <c r="H125" s="358">
        <f>+IF(G125=0,0,+IF(ROUNDUP(SUM($D125:G125),0)&lt;$D$19,MIN(($D$19-SUM($D125:G125)),+$D$19*$B$123),0))</f>
        <v>0</v>
      </c>
      <c r="I125" s="358">
        <f>+IF(H125=0,0,+IF(ROUNDUP(SUM($D125:H125),0)&lt;$D$19,MIN(($D$19-SUM($D125:H125)),+$D$19*$B$123),0))</f>
        <v>0</v>
      </c>
      <c r="J125" s="358">
        <f>+IF(I125=0,0,+IF(ROUNDUP(SUM($D125:I125),0)&lt;$D$19,MIN(($D$19-SUM($D125:I125)),+$D$19*$B$123),0))</f>
        <v>0</v>
      </c>
      <c r="K125" s="358">
        <f>+IF(J125=0,0,+IF(ROUNDUP(SUM($D125:J125),0)&lt;$D$19,MIN(($D$19-SUM($D125:J125)),+$D$19*$B$123),0))</f>
        <v>0</v>
      </c>
      <c r="L125" s="358">
        <f>+IF(K125=0,0,+IF(ROUNDUP(SUM($D125:K125),0)&lt;$D$19,MIN(($D$19-SUM($D125:K125)),+$D$19*$B$123),0))</f>
        <v>0</v>
      </c>
      <c r="M125" s="358">
        <f>+IF(L125=0,0,+IF(ROUNDUP(SUM($D125:L125),0)&lt;$D$19,MIN(($D$19-SUM($D125:L125)),+$D$19*$B$123),0))</f>
        <v>0</v>
      </c>
    </row>
    <row r="126" spans="1:13" ht="10.5" hidden="1">
      <c r="A126" s="288">
        <f t="shared" si="37"/>
        <v>2023</v>
      </c>
      <c r="B126" s="286"/>
      <c r="C126" s="287"/>
      <c r="D126" s="287"/>
      <c r="E126" s="366">
        <f>+IF(E$19&lt;0,0,E$19*$B$123)/12*E$31</f>
        <v>0</v>
      </c>
      <c r="F126" s="358">
        <f>+IF(E126=0,0,+IF(ROUNDUP(SUM($E126:E126),0)&lt;$E$19,MIN(($E$19-SUM($E126:E126)),+$E$19*$B$123),0))</f>
        <v>0</v>
      </c>
      <c r="G126" s="358">
        <f>+IF(F126=0,0,+IF(ROUNDUP(SUM($E126:F126),0)&lt;$E$19,MIN(($E$19-SUM($E126:F126)),+$E$19*$B$123),0))</f>
        <v>0</v>
      </c>
      <c r="H126" s="358">
        <f>+IF(G126=0,0,+IF(ROUNDUP(SUM($E126:G126),0)&lt;$E$19,MIN(($E$19-SUM($E126:G126)),+$E$19*$B$123),0))</f>
        <v>0</v>
      </c>
      <c r="I126" s="358">
        <f>+IF(H126=0,0,+IF(ROUNDUP(SUM($E126:H126),0)&lt;$E$19,MIN(($E$19-SUM($E126:H126)),+$E$19*$B$123),0))</f>
        <v>0</v>
      </c>
      <c r="J126" s="358">
        <f>+IF(I126=0,0,+IF(ROUNDUP(SUM($E126:I126),0)&lt;$E$19,MIN(($E$19-SUM($E126:I126)),+$E$19*$B$123),0))</f>
        <v>0</v>
      </c>
      <c r="K126" s="358">
        <f>+IF(J126=0,0,+IF(ROUNDUP(SUM($E126:J126),0)&lt;$E$19,MIN(($E$19-SUM($E126:J126)),+$E$19*$B$123),0))</f>
        <v>0</v>
      </c>
      <c r="L126" s="358">
        <f>+IF(K126=0,0,+IF(ROUNDUP(SUM($E126:K126),0)&lt;$E$19,MIN(($E$19-SUM($E126:K126)),+$E$19*$B$123),0))</f>
        <v>0</v>
      </c>
      <c r="M126" s="358">
        <f>+IF(L126=0,0,+IF(ROUNDUP(SUM($E126:L126),0)&lt;$E$19,MIN(($E$19-SUM($E126:L126)),+$E$19*$B$123),0))</f>
        <v>0</v>
      </c>
    </row>
    <row r="127" spans="1:13" ht="10.5" hidden="1">
      <c r="A127" s="288">
        <f t="shared" si="37"/>
        <v>2024</v>
      </c>
      <c r="B127" s="286"/>
      <c r="C127" s="287"/>
      <c r="D127" s="287"/>
      <c r="E127" s="287"/>
      <c r="F127" s="366">
        <f>+IF(F$19&lt;0,0,F$19*$B$123)/12*F$31</f>
        <v>0</v>
      </c>
      <c r="G127" s="358">
        <f>+IF(F127=0,0,+IF(ROUNDUP(SUM($F127:F127),0)&lt;$F$19,MIN(($F$19-SUM($F127:F127)),+$F$19*$B$123),0))</f>
        <v>0</v>
      </c>
      <c r="H127" s="358">
        <f>+IF(G127=0,0,+IF(ROUNDUP(SUM($F127:G127),0)&lt;$F$19,MIN(($F$19-SUM($F127:G127)),+$F$19*$B$123),0))</f>
        <v>0</v>
      </c>
      <c r="I127" s="358">
        <f>+IF(H127=0,0,+IF(ROUNDUP(SUM($F127:H127),0)&lt;$F$19,MIN(($F$19-SUM($F127:H127)),+$F$19*$B$123),0))</f>
        <v>0</v>
      </c>
      <c r="J127" s="358">
        <f>+IF(I127=0,0,+IF(ROUNDUP(SUM($F127:I127),0)&lt;$F$19,MIN(($F$19-SUM($F127:I127)),+$F$19*$B$123),0))</f>
        <v>0</v>
      </c>
      <c r="K127" s="358">
        <f>+IF(J127=0,0,+IF(ROUNDUP(SUM($F127:J127),0)&lt;$F$19,MIN(($F$19-SUM($F127:J127)),+$F$19*$B$123),0))</f>
        <v>0</v>
      </c>
      <c r="L127" s="358">
        <f>+IF(K127=0,0,+IF(ROUNDUP(SUM($F127:K127),0)&lt;$F$19,MIN(($F$19-SUM($F127:K127)),+$F$19*$B$123),0))</f>
        <v>0</v>
      </c>
      <c r="M127" s="358">
        <f>+IF(L127=0,0,+IF(ROUNDUP(SUM($F127:L127),0)&lt;$F$19,MIN(($F$19-SUM($F127:L127)),+$F$19*$B$123),0))</f>
        <v>0</v>
      </c>
    </row>
    <row r="128" spans="1:13" ht="10.5" hidden="1">
      <c r="A128" s="288">
        <f t="shared" si="37"/>
        <v>2025</v>
      </c>
      <c r="B128" s="286"/>
      <c r="C128" s="287"/>
      <c r="D128" s="287"/>
      <c r="E128" s="287"/>
      <c r="F128" s="287"/>
      <c r="G128" s="366">
        <f>+IF(G$19&lt;0,0,G$19*$B$123)/12*G$31</f>
        <v>0</v>
      </c>
      <c r="H128" s="358">
        <f>+IF(G128=0,0,+IF(ROUNDUP(SUM($G128:G128),0)&lt;$G$19,MIN(($G$19-SUM($G128:G128)),+$G$19*$B$123),0))</f>
        <v>0</v>
      </c>
      <c r="I128" s="358">
        <f>+IF(H128=0,0,+IF(ROUNDUP(SUM($G128:H128),0)&lt;$G$19,MIN(($G$19-SUM($G128:H128)),+$G$19*$B$123),0))</f>
        <v>0</v>
      </c>
      <c r="J128" s="358">
        <f>+IF(I128=0,0,+IF(ROUNDUP(SUM($G128:I128),0)&lt;$G$19,MIN(($G$19-SUM($G128:I128)),+$G$19*$B$123),0))</f>
        <v>0</v>
      </c>
      <c r="K128" s="358">
        <f>+IF(J128=0,0,+IF(ROUNDUP(SUM($G128:J128),0)&lt;$G$19,MIN(($G$19-SUM($G128:J128)),+$G$19*$B$123),0))</f>
        <v>0</v>
      </c>
      <c r="L128" s="358">
        <f>+IF(K128=0,0,+IF(ROUNDUP(SUM($G128:K128),0)&lt;$G$19,MIN(($G$19-SUM($G128:K128)),+$G$19*$B$123),0))</f>
        <v>0</v>
      </c>
      <c r="M128" s="358">
        <f>+IF(L128=0,0,+IF(ROUNDUP(SUM($G128:L128),0)&lt;$G$19,MIN(($G$19-SUM($G128:L128)),+$G$19*$B$123),0))</f>
        <v>0</v>
      </c>
    </row>
    <row r="129" spans="1:13" ht="10.5" hidden="1">
      <c r="A129" s="288">
        <f t="shared" si="37"/>
        <v>2026</v>
      </c>
      <c r="B129" s="289"/>
      <c r="C129" s="287"/>
      <c r="D129" s="287"/>
      <c r="E129" s="287"/>
      <c r="F129" s="287"/>
      <c r="G129" s="287"/>
      <c r="H129" s="366">
        <f>+IF(H$19&lt;0,0,H$19*$B$123)/12*H$31</f>
        <v>4000</v>
      </c>
      <c r="I129" s="358">
        <f>+IF(H129=0,0,+IF(ROUNDUP(SUM($H129:H129),0)&lt;$H$19,MIN(($H$19-SUM($H129:H129)),+$H$19*$B$123),0))</f>
        <v>4000</v>
      </c>
      <c r="J129" s="358">
        <f>+IF(I129=0,0,+IF(ROUNDUP(SUM($H129:I129),0)&lt;$H$19,MIN(($H$19-SUM($H129:I129)),+$H$19*$B$123),0))</f>
        <v>4000</v>
      </c>
      <c r="K129" s="358">
        <f>+IF(J129=0,0,+IF(ROUNDUP(SUM($H129:J129),0)&lt;$H$19,MIN(($H$19-SUM($H129:J129)),+$H$19*$B$123),0))</f>
        <v>4000</v>
      </c>
      <c r="L129" s="358">
        <f>+IF(K129=0,0,+IF(ROUNDUP(SUM($H129:K129),0)&lt;$H$19,MIN(($H$19-SUM($H129:K129)),+$H$19*$B$123),0))</f>
        <v>4000</v>
      </c>
      <c r="M129" s="358">
        <f>+IF(L129=0,0,+IF(ROUNDUP(SUM($H129:L129),0)&lt;$H$19,MIN(($H$19-SUM($H129:L129)),+$H$19*$B$123),0))</f>
        <v>0</v>
      </c>
    </row>
    <row r="130" spans="1:13" ht="10.5" hidden="1">
      <c r="A130" s="364" t="s">
        <v>198</v>
      </c>
      <c r="B130" s="362">
        <f>+C70</f>
        <v>0.2</v>
      </c>
      <c r="C130" s="365">
        <f>SUM(C131:C136)</f>
        <v>0</v>
      </c>
      <c r="D130" s="363">
        <f>SUM(D131:D136)</f>
        <v>0</v>
      </c>
      <c r="E130" s="363">
        <f>SUM(E131:E136)</f>
        <v>0</v>
      </c>
      <c r="F130" s="363">
        <f aca="true" t="shared" si="41" ref="F130:K130">SUM(F131:F136)</f>
        <v>0</v>
      </c>
      <c r="G130" s="363">
        <f t="shared" si="41"/>
        <v>0</v>
      </c>
      <c r="H130" s="363">
        <f t="shared" si="41"/>
        <v>600000</v>
      </c>
      <c r="I130" s="363">
        <f t="shared" si="41"/>
        <v>600000</v>
      </c>
      <c r="J130" s="363">
        <f t="shared" si="41"/>
        <v>600000</v>
      </c>
      <c r="K130" s="363">
        <f t="shared" si="41"/>
        <v>600000</v>
      </c>
      <c r="L130" s="363">
        <f>SUM(L131:L136)</f>
        <v>600000</v>
      </c>
      <c r="M130" s="363">
        <f>SUM(M131:M136)</f>
        <v>0</v>
      </c>
    </row>
    <row r="131" spans="1:13" ht="10.5" hidden="1">
      <c r="A131" s="288">
        <f t="shared" si="37"/>
        <v>2021</v>
      </c>
      <c r="B131" s="286"/>
      <c r="C131" s="366">
        <f>+IF(C$20&lt;0,0,C$20*$B$130)/12*C31</f>
        <v>0</v>
      </c>
      <c r="D131" s="358">
        <f>+IF(C131=0,0,+IF(ROUNDUP(SUM($C131:C131),0)&lt;$C$20,MIN(($C$20-SUM($C131:C131)),+$C$20*$B$130),0))</f>
        <v>0</v>
      </c>
      <c r="E131" s="358">
        <f>+IF(D131=0,0,+IF(ROUNDUP(SUM($C131:D131),0)&lt;$C$20,MIN(($C$20-SUM($C131:D131)),+$C$20*$B$130),0))</f>
        <v>0</v>
      </c>
      <c r="F131" s="358">
        <f>+IF(E131=0,0,+IF(ROUNDUP(SUM($C131:E131),0)&lt;$C$20,MIN(($C$20-SUM($C131:E131)),+$C$20*$B$130),0))</f>
        <v>0</v>
      </c>
      <c r="G131" s="358">
        <f>+IF(F131=0,0,+IF(ROUNDUP(SUM($C131:F131),0)&lt;$C$20,MIN(($C$20-SUM($C131:F131)),+$C$20*$B$130),0))</f>
        <v>0</v>
      </c>
      <c r="H131" s="358">
        <f>+IF(G131=0,0,+IF(ROUNDUP(SUM($C131:G131),0)&lt;$C$20,MIN(($C$20-SUM($C131:G131)),+$C$20*$B$130),0))</f>
        <v>0</v>
      </c>
      <c r="I131" s="358">
        <f>+IF(H131=0,0,+IF(ROUNDUP(SUM($C131:H131),0)&lt;$C$20,MIN(($C$20-SUM($C131:H131)),+$C$20*$B$130),0))</f>
        <v>0</v>
      </c>
      <c r="J131" s="358">
        <f>+IF(I131=0,0,+IF(ROUNDUP(SUM($C131:I131),0)&lt;$C$20,MIN(($C$20-SUM($C131:I131)),+$C$20*$B$130),0))</f>
        <v>0</v>
      </c>
      <c r="K131" s="358">
        <f>+IF(J131=0,0,+IF(ROUNDUP(SUM($C131:J131),0)&lt;$C$20,MIN(($C$20-SUM($C131:J131)),+$C$20*$B$130),0))</f>
        <v>0</v>
      </c>
      <c r="L131" s="358">
        <f>+IF(K131=0,0,+IF(ROUNDUP(SUM($C131:K131),0)&lt;$C$20,MIN(($C$20-SUM($C131:K131)),+$C$20*$B$130),0))</f>
        <v>0</v>
      </c>
      <c r="M131" s="358">
        <f>+IF(L131=0,0,+IF(ROUNDUP(SUM($C131:L131),0)&lt;$C$20,MIN(($C$20-SUM($C131:L131)),+$C$20*$B$130),0))</f>
        <v>0</v>
      </c>
    </row>
    <row r="132" spans="1:13" ht="10.5" hidden="1">
      <c r="A132" s="288">
        <f t="shared" si="37"/>
        <v>2022</v>
      </c>
      <c r="B132" s="286"/>
      <c r="C132" s="287"/>
      <c r="D132" s="366">
        <f>+IF(D$20&lt;0,0,D$20*$B$130)/12*D$31</f>
        <v>0</v>
      </c>
      <c r="E132" s="358">
        <f>+IF(D132=0,0,+IF(ROUNDUP(SUM($D132:D132),0)&lt;$D$20,MIN(($D$20-SUM($C132:D132)),+$D$20*$B$130),0))</f>
        <v>0</v>
      </c>
      <c r="F132" s="358">
        <f>+IF(E132=0,0,+IF(ROUNDUP(SUM($D132:E132),0)&lt;$D$20,MIN(($D$20-SUM($C132:E132)),+$D$20*$B$130),0))</f>
        <v>0</v>
      </c>
      <c r="G132" s="358">
        <f>+IF(F132=0,0,+IF(ROUNDUP(SUM($D132:F132),0)&lt;$D$20,MIN(($D$20-SUM($C132:F132)),+$D$20*$B$130),0))</f>
        <v>0</v>
      </c>
      <c r="H132" s="358">
        <f>+IF(G132=0,0,+IF(ROUNDUP(SUM($D132:G132),0)&lt;$D$20,MIN(($D$20-SUM($C132:G132)),+$D$20*$B$130),0))</f>
        <v>0</v>
      </c>
      <c r="I132" s="358">
        <f>+IF(H132=0,0,+IF(ROUNDUP(SUM($D132:H132),0)&lt;$D$20,MIN(($D$20-SUM($C132:H132)),+$D$20*$B$130),0))</f>
        <v>0</v>
      </c>
      <c r="J132" s="358">
        <f>+IF(I132=0,0,+IF(ROUNDUP(SUM($D132:I132),0)&lt;$D$20,MIN(($D$20-SUM($C132:I132)),+$D$20*$B$130),0))</f>
        <v>0</v>
      </c>
      <c r="K132" s="358">
        <f>+IF(J132=0,0,+IF(ROUNDUP(SUM($D132:J132),0)&lt;$D$20,MIN(($D$20-SUM($C132:J132)),+$D$20*$B$130),0))</f>
        <v>0</v>
      </c>
      <c r="L132" s="358">
        <f>+IF(K132=0,0,+IF(ROUNDUP(SUM($D132:K132),0)&lt;$D$20,MIN(($D$20-SUM($C132:K132)),+$D$20*$B$130),0))</f>
        <v>0</v>
      </c>
      <c r="M132" s="358">
        <f>+IF(L132=0,0,+IF(ROUNDUP(SUM($D132:L132),0)&lt;$D$20,MIN(($D$20-SUM($C132:L132)),+$D$20*$B$130),0))</f>
        <v>0</v>
      </c>
    </row>
    <row r="133" spans="1:13" ht="10.5" hidden="1">
      <c r="A133" s="288">
        <f t="shared" si="37"/>
        <v>2023</v>
      </c>
      <c r="B133" s="286"/>
      <c r="C133" s="287"/>
      <c r="D133" s="287"/>
      <c r="E133" s="366">
        <f>+IF(E$20&lt;0,0,E$20*$B$130)/12*E$31</f>
        <v>0</v>
      </c>
      <c r="F133" s="358">
        <f>+IF(E133=0,0,+IF(ROUNDUP(SUM($E133:E133),0)&lt;$E$20,MIN(($E$20-SUM($E133:E133)),+$E$20*$B$130),0))</f>
        <v>0</v>
      </c>
      <c r="G133" s="358">
        <f>+IF(F133=0,0,+IF(ROUNDUP(SUM($E133:F133),0)&lt;$E$20,MIN(($E$20-SUM($E133:F133)),+$E$20*$B$130),0))</f>
        <v>0</v>
      </c>
      <c r="H133" s="358">
        <f>+IF(G133=0,0,+IF(ROUNDUP(SUM($E133:G133),0)&lt;$E$20,MIN(($E$20-SUM($E133:G133)),+$E$20*$B$130),0))</f>
        <v>0</v>
      </c>
      <c r="I133" s="358">
        <f>+IF(H133=0,0,+IF(ROUNDUP(SUM($E133:H133),0)&lt;$E$20,MIN(($E$20-SUM($E133:H133)),+$E$20*$B$130),0))</f>
        <v>0</v>
      </c>
      <c r="J133" s="358">
        <f>+IF(I133=0,0,+IF(ROUNDUP(SUM($E133:I133),0)&lt;$E$20,MIN(($E$20-SUM($E133:I133)),+$E$20*$B$130),0))</f>
        <v>0</v>
      </c>
      <c r="K133" s="358">
        <f>+IF(J133=0,0,+IF(ROUNDUP(SUM($E133:J133),0)&lt;$E$20,MIN(($E$20-SUM($E133:J133)),+$E$20*$B$130),0))</f>
        <v>0</v>
      </c>
      <c r="L133" s="358">
        <f>+IF(K133=0,0,+IF(ROUNDUP(SUM($E133:K133),0)&lt;$E$20,MIN(($E$20-SUM($E133:K133)),+$E$20*$B$130),0))</f>
        <v>0</v>
      </c>
      <c r="M133" s="358">
        <f>+IF(L133=0,0,+IF(ROUNDUP(SUM($E133:L133),0)&lt;$E$20,MIN(($E$20-SUM($E133:L133)),+$E$20*$B$130),0))</f>
        <v>0</v>
      </c>
    </row>
    <row r="134" spans="1:13" ht="10.5" hidden="1">
      <c r="A134" s="288">
        <f t="shared" si="37"/>
        <v>2024</v>
      </c>
      <c r="B134" s="286"/>
      <c r="C134" s="287"/>
      <c r="D134" s="287"/>
      <c r="E134" s="287"/>
      <c r="F134" s="366">
        <f>+IF(F$20&lt;0,0,F$20*$B$130)/12*F$31</f>
        <v>0</v>
      </c>
      <c r="G134" s="358">
        <f>+IF(F134=0,0,+IF(ROUNDUP(SUM($F134:F134),0)&lt;$F$20,MIN(($F$20-SUM($F134:F134)),+$F$20*$B$130),0))</f>
        <v>0</v>
      </c>
      <c r="H134" s="358">
        <f>+IF(G134=0,0,+IF(ROUNDUP(SUM($F134:G134),0)&lt;$F$20,MIN(($F$20-SUM($F134:G134)),+$F$20*$B$130),0))</f>
        <v>0</v>
      </c>
      <c r="I134" s="358">
        <f>+IF(H134=0,0,+IF(ROUNDUP(SUM($F134:H134),0)&lt;$F$20,MIN(($F$20-SUM($F134:H134)),+$F$20*$B$130),0))</f>
        <v>0</v>
      </c>
      <c r="J134" s="358">
        <f>+IF(I134=0,0,+IF(ROUNDUP(SUM($F134:I134),0)&lt;$F$20,MIN(($F$20-SUM($F134:I134)),+$F$20*$B$130),0))</f>
        <v>0</v>
      </c>
      <c r="K134" s="358">
        <f>+IF(J134=0,0,+IF(ROUNDUP(SUM($F134:J134),0)&lt;$F$20,MIN(($F$20-SUM($F134:J134)),+$F$20*$B$130),0))</f>
        <v>0</v>
      </c>
      <c r="L134" s="358">
        <f>+IF(K134=0,0,+IF(ROUNDUP(SUM($F134:K134),0)&lt;$F$20,MIN(($F$20-SUM($F134:K134)),+$F$20*$B$130),0))</f>
        <v>0</v>
      </c>
      <c r="M134" s="358">
        <f>+IF(L134=0,0,+IF(ROUNDUP(SUM($F134:L134),0)&lt;$F$20,MIN(($F$20-SUM($F134:L134)),+$F$20*$B$130),0))</f>
        <v>0</v>
      </c>
    </row>
    <row r="135" spans="1:13" ht="10.5" hidden="1">
      <c r="A135" s="288">
        <f t="shared" si="37"/>
        <v>2025</v>
      </c>
      <c r="B135" s="286"/>
      <c r="C135" s="287"/>
      <c r="D135" s="287"/>
      <c r="E135" s="287"/>
      <c r="F135" s="287"/>
      <c r="G135" s="366">
        <f>+IF(G$20&lt;0,0,G$20*$B$130)/12*G$31</f>
        <v>0</v>
      </c>
      <c r="H135" s="358">
        <f>+IF(G135=0,0,+IF(ROUNDUP(SUM($G135:G135),0)&lt;$G$20,MIN(($G$20-SUM($G135:G135)),+$G$20*$B$130),0))</f>
        <v>0</v>
      </c>
      <c r="I135" s="358">
        <f>+IF(H135=0,0,+IF(ROUNDUP(SUM($G135:H135),0)&lt;$G$20,MIN(($G$20-SUM($G135:H135)),+$G$20*$B$130),0))</f>
        <v>0</v>
      </c>
      <c r="J135" s="358">
        <f>+IF(I135=0,0,+IF(ROUNDUP(SUM($G135:I135),0)&lt;$G$20,MIN(($G$20-SUM($G135:I135)),+$G$20*$B$130),0))</f>
        <v>0</v>
      </c>
      <c r="K135" s="358">
        <f>+IF(J135=0,0,+IF(ROUNDUP(SUM($G135:J135),0)&lt;$G$20,MIN(($G$20-SUM($G135:J135)),+$G$20*$B$130),0))</f>
        <v>0</v>
      </c>
      <c r="L135" s="358">
        <f>+IF(K135=0,0,+IF(ROUNDUP(SUM($G135:K135),0)&lt;$G$20,MIN(($G$20-SUM($G135:K135)),+$G$20*$B$130),0))</f>
        <v>0</v>
      </c>
      <c r="M135" s="358">
        <f>+IF(L135=0,0,+IF(ROUNDUP(SUM($G135:L135),0)&lt;$G$20,MIN(($G$20-SUM($G135:L135)),+$G$20*$B$130),0))</f>
        <v>0</v>
      </c>
    </row>
    <row r="136" spans="1:13" ht="10.5" hidden="1">
      <c r="A136" s="288">
        <f t="shared" si="37"/>
        <v>2026</v>
      </c>
      <c r="B136" s="289"/>
      <c r="C136" s="287"/>
      <c r="D136" s="287"/>
      <c r="E136" s="287"/>
      <c r="F136" s="287"/>
      <c r="G136" s="287"/>
      <c r="H136" s="366">
        <f>+IF(H$20&lt;0,0,H$20*$B$130)/12*H$31</f>
        <v>600000</v>
      </c>
      <c r="I136" s="358">
        <f>+IF(H136=0,0,+IF(ROUNDUP(SUM($H136:H136),0)&lt;$H$20,MIN(($H$20-SUM($H136:H136)),+$H$20*$B$130),0))</f>
        <v>600000</v>
      </c>
      <c r="J136" s="358">
        <f>+IF(I136=0,0,+IF(ROUNDUP(SUM($H136:I136),0)&lt;$H$20,MIN(($H$20-SUM($H136:I136)),+$H$20*$B$130),0))</f>
        <v>600000</v>
      </c>
      <c r="K136" s="358">
        <f>+IF(J136=0,0,+IF(ROUNDUP(SUM($H136:J136),0)&lt;$H$20,MIN(($H$20-SUM($H136:J136)),+$H$20*$B$130),0))</f>
        <v>600000</v>
      </c>
      <c r="L136" s="358">
        <f>+IF(K136=0,0,+IF(ROUNDUP(SUM($H136:K136),0)&lt;$H$20,MIN(($H$20-SUM($H136:K136)),+$H$20*$B$130),0))</f>
        <v>600000</v>
      </c>
      <c r="M136" s="358">
        <f>+IF(L136=0,0,+IF(ROUNDUP(SUM($H136:L136),0)&lt;$H$20,MIN(($H$20-SUM($H136:L136)),+$H$20*$B$130),0))</f>
        <v>0</v>
      </c>
    </row>
    <row r="137" spans="1:13" ht="10.5" hidden="1">
      <c r="A137" s="594" t="s">
        <v>30</v>
      </c>
      <c r="B137" s="595"/>
      <c r="C137" s="296">
        <f>+C95+C102+C109+C116+C123+C130</f>
        <v>0</v>
      </c>
      <c r="D137" s="296">
        <f>+D95+D102+D109+D116+D123+D130</f>
        <v>0</v>
      </c>
      <c r="E137" s="296">
        <f>+E95+E102+E109+E116+E123+E130</f>
        <v>0</v>
      </c>
      <c r="F137" s="296">
        <f aca="true" t="shared" si="42" ref="F137:K137">+F95+F102+F109+F116+F123+F130</f>
        <v>0</v>
      </c>
      <c r="G137" s="296">
        <f t="shared" si="42"/>
        <v>41250</v>
      </c>
      <c r="H137" s="296">
        <f t="shared" si="42"/>
        <v>984750</v>
      </c>
      <c r="I137" s="296">
        <f t="shared" si="42"/>
        <v>983950</v>
      </c>
      <c r="J137" s="296">
        <f t="shared" si="42"/>
        <v>983950</v>
      </c>
      <c r="K137" s="296">
        <f t="shared" si="42"/>
        <v>942700</v>
      </c>
      <c r="L137" s="296">
        <f>+L95+L102+L109+L116+L123+L130</f>
        <v>941900</v>
      </c>
      <c r="M137" s="296">
        <f>+M95+M102+M109+M116+M123+M130</f>
        <v>337500</v>
      </c>
    </row>
    <row r="138" spans="1:13" ht="10.5" hidden="1">
      <c r="A138" s="292" t="s">
        <v>174</v>
      </c>
      <c r="B138" s="141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</row>
    <row r="139" spans="1:13" ht="10.5" hidden="1">
      <c r="A139" s="364" t="s">
        <v>179</v>
      </c>
      <c r="B139" s="362">
        <f>+C72</f>
        <v>0.33333</v>
      </c>
      <c r="C139" s="363">
        <f>SUM(C140:C145)</f>
        <v>0</v>
      </c>
      <c r="D139" s="363">
        <f>SUM(D140:D145)</f>
        <v>0</v>
      </c>
      <c r="E139" s="363">
        <f>SUM(E140:E145)</f>
        <v>0</v>
      </c>
      <c r="F139" s="363">
        <f aca="true" t="shared" si="43" ref="F139:K139">SUM(F140:F145)</f>
        <v>0</v>
      </c>
      <c r="G139" s="363">
        <f t="shared" si="43"/>
        <v>756992.43</v>
      </c>
      <c r="H139" s="363">
        <f t="shared" si="43"/>
        <v>1020323.1300000001</v>
      </c>
      <c r="I139" s="363">
        <f t="shared" si="43"/>
        <v>1020323.1300000001</v>
      </c>
      <c r="J139" s="363">
        <f t="shared" si="43"/>
        <v>263353.41</v>
      </c>
      <c r="K139" s="363">
        <f t="shared" si="43"/>
        <v>7.899999999906868</v>
      </c>
      <c r="L139" s="363">
        <f>SUM(L140:L145)</f>
        <v>0</v>
      </c>
      <c r="M139" s="363">
        <f>SUM(M140:M145)</f>
        <v>0</v>
      </c>
    </row>
    <row r="140" spans="1:13" ht="10.5" hidden="1">
      <c r="A140" s="288">
        <f aca="true" t="shared" si="44" ref="A140:A145">A103</f>
        <v>2021</v>
      </c>
      <c r="B140" s="286"/>
      <c r="C140" s="366">
        <f>+IF(C$24&lt;0,0,C$24*$B$139)/12*C$31</f>
        <v>0</v>
      </c>
      <c r="D140" s="358">
        <f>+IF(C140=0,0,+IF(ROUNDUP(SUM($C140:C140),0)&lt;$C$24,MIN(($C$24-SUM($C140:C140)),+$C$24*$B$139),0))</f>
        <v>0</v>
      </c>
      <c r="E140" s="358">
        <f>+IF(D140=0,0,+IF(ROUNDUP(SUM($C140:D140),0)&lt;$C$24,MIN(($C$24-SUM($C140:D140)),+$C$24*$B$139),0))</f>
        <v>0</v>
      </c>
      <c r="F140" s="358">
        <f>+IF(E140=0,0,+IF(ROUNDUP(SUM($C140:E140),0)&lt;$C$24,MIN(($C$24-SUM($C140:E140)),+$C$24*$B$139),0))</f>
        <v>0</v>
      </c>
      <c r="G140" s="358">
        <f>+IF(F140=0,0,+IF(ROUNDUP(SUM($C140:F140),0)&lt;$C$24,MIN(($C$24-SUM($C140:F140)),+$C$24*$B$139),0))</f>
        <v>0</v>
      </c>
      <c r="H140" s="358">
        <f>+IF(G140=0,0,+IF(ROUNDUP(SUM($C140:G140),0)&lt;$C$24,MIN(($C$24-SUM($C140:G140)),+$C$24*$B$139),0))</f>
        <v>0</v>
      </c>
      <c r="I140" s="358">
        <f>+IF(H140=0,0,+IF(ROUNDUP(SUM($C140:H140),0)&lt;$C$24,MIN(($C$24-SUM($C140:H140)),+$C$24*$B$139),0))</f>
        <v>0</v>
      </c>
      <c r="J140" s="358">
        <f>+IF(I140=0,0,+IF(ROUNDUP(SUM($C140:I140),0)&lt;$C$24,MIN(($C$24-SUM($C140:I140)),+$C$24*$B$139),0))</f>
        <v>0</v>
      </c>
      <c r="K140" s="358">
        <f>+IF(J140=0,0,+IF(ROUNDUP(SUM($C140:J140),0)&lt;$C$24,MIN(($C$24-SUM($C140:J140)),+$C$24*$B$139),0))</f>
        <v>0</v>
      </c>
      <c r="L140" s="358">
        <f>+IF(K140=0,0,+IF(ROUNDUP(SUM($C140:K140),0)&lt;$C$24,MIN(($C$24-SUM($C140:K140)),+$C$24*$B$139),0))</f>
        <v>0</v>
      </c>
      <c r="M140" s="358">
        <f>+IF(L140=0,0,+IF(ROUNDUP(SUM($C140:L140),0)&lt;$C$24,MIN(($C$24-SUM($C140:L140)),+$C$24*$B$139),0))</f>
        <v>0</v>
      </c>
    </row>
    <row r="141" spans="1:13" ht="10.5" hidden="1">
      <c r="A141" s="288">
        <f t="shared" si="44"/>
        <v>2022</v>
      </c>
      <c r="B141" s="286"/>
      <c r="C141" s="287"/>
      <c r="D141" s="366">
        <f>+IF(D$24&lt;0,0,D$24*$B$139)/12*D$31</f>
        <v>0</v>
      </c>
      <c r="E141" s="358">
        <f>+IF(D141=0,0,+IF(ROUNDUP(SUM($D141:D141),0)&lt;$D$24,MIN(($D$24-SUM($D141:D141)),+$D$24*$B$139),0))</f>
        <v>0</v>
      </c>
      <c r="F141" s="358">
        <f>+IF(E141=0,0,+IF(ROUNDUP(SUM($D141:E141),0)&lt;$D$24,MIN(($D$24-SUM($D141:E141)),+$D$24*$B$139),0))</f>
        <v>0</v>
      </c>
      <c r="G141" s="358">
        <f>+IF(F141=0,0,+IF(ROUNDUP(SUM($D141:F141),0)&lt;$D$24,MIN(($D$24-SUM($D141:F141)),+$D$24*$B$139),0))</f>
        <v>0</v>
      </c>
      <c r="H141" s="358">
        <f>+IF(G141=0,0,+IF(ROUNDUP(SUM($D141:G141),0)&lt;$D$24,MIN(($D$24-SUM($D141:G141)),+$D$24*$B$139),0))</f>
        <v>0</v>
      </c>
      <c r="I141" s="358">
        <f>+IF(H141=0,0,+IF(ROUNDUP(SUM($D141:H141),0)&lt;$D$24,MIN(($D$24-SUM($D141:H141)),+$D$24*$B$139),0))</f>
        <v>0</v>
      </c>
      <c r="J141" s="358">
        <f>+IF(I141=0,0,+IF(ROUNDUP(SUM($D141:I141),0)&lt;$D$24,MIN(($D$24-SUM($D141:I141)),+$D$24*$B$139),0))</f>
        <v>0</v>
      </c>
      <c r="K141" s="358">
        <f>+IF(J141=0,0,+IF(ROUNDUP(SUM($D141:J141),0)&lt;$D$24,MIN(($D$24-SUM($D141:J141)),+$D$24*$B$139),0))</f>
        <v>0</v>
      </c>
      <c r="L141" s="358">
        <f>+IF(K141=0,0,+IF(ROUNDUP(SUM($D141:K141),0)&lt;$D$24,MIN(($D$24-SUM($D141:K141)),+$D$24*$B$139),0))</f>
        <v>0</v>
      </c>
      <c r="M141" s="358">
        <f>+IF(L141=0,0,+IF(ROUNDUP(SUM($D141:L141),0)&lt;$D$24,MIN(($D$24-SUM($D141:L141)),+$D$24*$B$139),0))</f>
        <v>0</v>
      </c>
    </row>
    <row r="142" spans="1:13" ht="10.5" hidden="1">
      <c r="A142" s="288">
        <f t="shared" si="44"/>
        <v>2023</v>
      </c>
      <c r="B142" s="286"/>
      <c r="C142" s="287"/>
      <c r="D142" s="287"/>
      <c r="E142" s="366">
        <f>+IF(E$24&lt;0,0,E$24*$B$139)/12*E$31</f>
        <v>0</v>
      </c>
      <c r="F142" s="358">
        <f>+IF(E142=0,0,+IF(ROUNDUP(SUM($E142:E142),0)&lt;$E$24,MIN(($E$24-SUM($E142:E142)),+$E$24*$B$139),0))</f>
        <v>0</v>
      </c>
      <c r="G142" s="358">
        <f>+IF(F142=0,0,+IF(ROUNDUP(SUM($E142:F142),0)&lt;$E$24,MIN(($E$24-SUM($E142:F142)),+$E$24*$B$139),0))</f>
        <v>0</v>
      </c>
      <c r="H142" s="358">
        <f>+IF(G142=0,0,+IF(ROUNDUP(SUM($E142:G142),0)&lt;$E$24,MIN(($E$24-SUM($E142:G142)),+$E$24*$B$139),0))</f>
        <v>0</v>
      </c>
      <c r="I142" s="358">
        <f>+IF(H142=0,0,+IF(ROUNDUP(SUM($E142:H142),0)&lt;$E$24,MIN(($E$24-SUM($E142:H142)),+$E$24*$B$139),0))</f>
        <v>0</v>
      </c>
      <c r="J142" s="358">
        <f>+IF(I142=0,0,+IF(ROUNDUP(SUM($E142:I142),0)&lt;$E$24,MIN(($E$24-SUM($E142:I142)),+$E$24*$B$139),0))</f>
        <v>0</v>
      </c>
      <c r="K142" s="358">
        <f>+IF(J142=0,0,+IF(ROUNDUP(SUM($E142:J142),0)&lt;$E$24,MIN(($E$24-SUM($E142:J142)),+$E$24*$B$139),0))</f>
        <v>0</v>
      </c>
      <c r="L142" s="358">
        <f>+IF(K142=0,0,+IF(ROUNDUP(SUM($E142:K142),0)&lt;$E$24,MIN(($E$24-SUM($E142:K142)),+$E$24*$B$139),0))</f>
        <v>0</v>
      </c>
      <c r="M142" s="358">
        <f>+IF(L142=0,0,+IF(ROUNDUP(SUM($E142:L142),0)&lt;$E$24,MIN(($E$24-SUM($E142:L142)),+$E$24*$B$139),0))</f>
        <v>0</v>
      </c>
    </row>
    <row r="143" spans="1:13" ht="10.5" hidden="1">
      <c r="A143" s="288">
        <f t="shared" si="44"/>
        <v>2024</v>
      </c>
      <c r="B143" s="286"/>
      <c r="C143" s="287"/>
      <c r="D143" s="287"/>
      <c r="E143" s="287"/>
      <c r="F143" s="366">
        <f>+IF(F$24&lt;0,0,F$24*$B$139)/12*F$31</f>
        <v>0</v>
      </c>
      <c r="G143" s="358">
        <f>+IF(F143=0,0,+IF(ROUNDUP(SUM($F143:F143),0)&lt;$F$24,MIN(($F$24-SUM($F143:F143)),+$F$24*$B$139),0))</f>
        <v>0</v>
      </c>
      <c r="H143" s="358">
        <f>+IF(G143=0,0,+IF(ROUNDUP(SUM($F143:G143),0)&lt;$F$24,MIN(($F$24-SUM($F143:G143)),+$F$24*$B$139),0))</f>
        <v>0</v>
      </c>
      <c r="I143" s="358">
        <f>+IF(H143=0,0,+IF(ROUNDUP(SUM($F143:H143),0)&lt;$F$24,MIN(($F$24-SUM($F143:H143)),+$F$24*$B$139),0))</f>
        <v>0</v>
      </c>
      <c r="J143" s="358">
        <f>+IF(I143=0,0,+IF(ROUNDUP(SUM($F143:I143),0)&lt;$F$24,MIN(($F$24-SUM($F143:I143)),+$F$24*$B$139),0))</f>
        <v>0</v>
      </c>
      <c r="K143" s="358">
        <f>+IF(J143=0,0,+IF(ROUNDUP(SUM($F143:J143),0)&lt;$F$24,MIN(($F$24-SUM($F143:J143)),+$F$24*$B$139),0))</f>
        <v>0</v>
      </c>
      <c r="L143" s="358">
        <f>+IF(K143=0,0,+IF(ROUNDUP(SUM($F143:K143),0)&lt;$F$24,MIN(($F$24-SUM($F143:K143)),+$F$24*$B$139),0))</f>
        <v>0</v>
      </c>
      <c r="M143" s="358">
        <f>+IF(L143=0,0,+IF(ROUNDUP(SUM($F143:L143),0)&lt;$F$24,MIN(($F$24-SUM($F143:L143)),+$F$24*$B$139),0))</f>
        <v>0</v>
      </c>
    </row>
    <row r="144" spans="1:13" ht="10.5" hidden="1">
      <c r="A144" s="288">
        <f t="shared" si="44"/>
        <v>2025</v>
      </c>
      <c r="B144" s="286"/>
      <c r="C144" s="287"/>
      <c r="D144" s="287"/>
      <c r="E144" s="287"/>
      <c r="F144" s="287"/>
      <c r="G144" s="366">
        <f>+IF(G$24&lt;0,0,G$24*$B$139)/12*G$31</f>
        <v>756992.43</v>
      </c>
      <c r="H144" s="358">
        <f>+IF(G144=0,0,+IF(ROUNDUP(SUM($G144:G144),0)&lt;$G$24,MIN(($G$24-SUM($G144:G144)),+$G$24*$B$139),0))</f>
        <v>756992.43</v>
      </c>
      <c r="I144" s="358">
        <f>+IF(H144=0,0,+IF(ROUNDUP(SUM($G144:H144),0)&lt;$G$24,MIN(($G$24-SUM($G144:H144)),+$G$24*$B$139),0))</f>
        <v>756992.43</v>
      </c>
      <c r="J144" s="358">
        <f>+IF(I144=0,0,+IF(ROUNDUP(SUM($G144:I144),0)&lt;$G$24,MIN(($G$24-SUM($G144:I144)),+$G$24*$B$139),0))</f>
        <v>22.709999999962747</v>
      </c>
      <c r="K144" s="358">
        <f>+IF(J144=0,0,+IF(ROUNDUP(SUM($G144:J144),0)&lt;$G$24,MIN(($G$24-SUM($G144:J144)),+$G$24*$B$139),0))</f>
        <v>0</v>
      </c>
      <c r="L144" s="358">
        <f>+IF(K144=0,0,+IF(ROUNDUP(SUM($G144:K144),0)&lt;$G$24,MIN(($G$24-SUM($G144:K144)),+$G$24*$B$139),0))</f>
        <v>0</v>
      </c>
      <c r="M144" s="358">
        <f>+IF(L144=0,0,+IF(ROUNDUP(SUM($G144:L144),0)&lt;$G$24,MIN(($G$24-SUM($G144:L144)),+$G$24*$B$139),0))</f>
        <v>0</v>
      </c>
    </row>
    <row r="145" spans="1:13" ht="10.5" hidden="1">
      <c r="A145" s="288">
        <f t="shared" si="44"/>
        <v>2026</v>
      </c>
      <c r="B145" s="286"/>
      <c r="C145" s="287"/>
      <c r="D145" s="287"/>
      <c r="E145" s="287"/>
      <c r="F145" s="287"/>
      <c r="G145" s="287"/>
      <c r="H145" s="366">
        <f>+IF(H$24&lt;0,0,H$24*$B$139)/12*H$31</f>
        <v>263330.7</v>
      </c>
      <c r="I145" s="358">
        <f>+IF(H145=0,0,+IF(ROUNDUP(SUM(H145:$H145),0)&lt;$H$24,MIN(($H$24-SUM($H145:H145)),+$H$24*$B$139),0))</f>
        <v>263330.7</v>
      </c>
      <c r="J145" s="358">
        <f>+IF(I145=0,0,+IF(ROUNDUP(SUM($H145:I145),0)&lt;$H$24,MIN(($H$24-SUM($H145:I145)),+$H$24*$B$139),0))</f>
        <v>263330.7</v>
      </c>
      <c r="K145" s="358">
        <f>+IF(J145=0,0,+IF(ROUNDUP(SUM($H145:J145),0)&lt;$H$24,MIN(($H$24-SUM($H145:J145)),+$H$24*$B$139),0))</f>
        <v>7.899999999906868</v>
      </c>
      <c r="L145" s="358">
        <f>+IF(K145=0,0,+IF(ROUNDUP(SUM($H145:K145),0)&lt;$H$24,MIN(($H$24-SUM($H145:K145)),+$H$24*$B$139),0))</f>
        <v>0</v>
      </c>
      <c r="M145" s="358">
        <f>+IF(L145=0,0,+IF(ROUNDUP(SUM($H145:L145),0)&lt;$H$24,MIN(($H$24-SUM($H145:L145)),+$H$24*$B$139),0))</f>
        <v>0</v>
      </c>
    </row>
    <row r="146" spans="1:13" ht="10.5" hidden="1">
      <c r="A146" s="364" t="s">
        <v>180</v>
      </c>
      <c r="B146" s="362">
        <f>+C73</f>
        <v>0.3333333333333333</v>
      </c>
      <c r="C146" s="363">
        <f>SUM(C147:C152)</f>
        <v>0</v>
      </c>
      <c r="D146" s="363">
        <f>SUM(D147:D152)</f>
        <v>0</v>
      </c>
      <c r="E146" s="363">
        <f>SUM(E147:E152)</f>
        <v>0</v>
      </c>
      <c r="F146" s="363">
        <f aca="true" t="shared" si="45" ref="F146:K146">SUM(F147:F152)</f>
        <v>0</v>
      </c>
      <c r="G146" s="363">
        <f t="shared" si="45"/>
        <v>20000</v>
      </c>
      <c r="H146" s="363">
        <f t="shared" si="45"/>
        <v>20000</v>
      </c>
      <c r="I146" s="363">
        <f t="shared" si="45"/>
        <v>20000</v>
      </c>
      <c r="J146" s="363">
        <f t="shared" si="45"/>
        <v>0</v>
      </c>
      <c r="K146" s="363">
        <f t="shared" si="45"/>
        <v>0</v>
      </c>
      <c r="L146" s="363">
        <f>SUM(L147:L152)</f>
        <v>0</v>
      </c>
      <c r="M146" s="363">
        <f>SUM(M147:M152)</f>
        <v>0</v>
      </c>
    </row>
    <row r="147" spans="1:13" ht="10.5" hidden="1">
      <c r="A147" s="288">
        <f aca="true" t="shared" si="46" ref="A147:A152">A140</f>
        <v>2021</v>
      </c>
      <c r="B147" s="286"/>
      <c r="C147" s="366">
        <f>+IF(C$25&lt;0,0,C$25*$B$146)/12*C$31</f>
        <v>0</v>
      </c>
      <c r="D147" s="358">
        <f>+IF(C147=0,0,+IF(ROUNDUP(SUM($C147:C147),0)&lt;$C25,MIN(($C25-SUM($C147:C147)),+$C25*$B$146),0))</f>
        <v>0</v>
      </c>
      <c r="E147" s="358">
        <f>+IF(D147=0,0,+IF(ROUNDUP(SUM($C147:D147),0)&lt;$C25,MIN(($C25-SUM($C147:D147)),+$C25*$B$146),0))</f>
        <v>0</v>
      </c>
      <c r="F147" s="358">
        <f>+IF(E147=0,0,+IF(ROUNDUP(SUM($C147:E147),0)&lt;$C25,MIN(($C25-SUM($C147:E147)),+$C25*$B$146),0))</f>
        <v>0</v>
      </c>
      <c r="G147" s="358">
        <f>+IF(F147=0,0,+IF(ROUNDUP(SUM($C147:F147),0)&lt;$C25,MIN(($C25-SUM($C147:F147)),+$C25*$B$146),0))</f>
        <v>0</v>
      </c>
      <c r="H147" s="358">
        <f>+IF(G147=0,0,+IF(ROUNDUP(SUM($C147:G147),0)&lt;$C25,MIN(($C25-SUM($C147:G147)),+$C25*$B$146),0))</f>
        <v>0</v>
      </c>
      <c r="I147" s="358">
        <f>+IF(H147=0,0,+IF(ROUNDUP(SUM($C147:H147),0)&lt;$C25,MIN(($C25-SUM($C147:H147)),+$C25*$B$146),0))</f>
        <v>0</v>
      </c>
      <c r="J147" s="358">
        <f>+IF(I147=0,0,+IF(ROUNDUP(SUM($C147:I147),0)&lt;$C25,MIN(($C25-SUM($C147:I147)),+$C25*$B$146),0))</f>
        <v>0</v>
      </c>
      <c r="K147" s="358">
        <f>+IF(J147=0,0,+IF(ROUNDUP(SUM($C147:J147),0)&lt;$C25,MIN(($C25-SUM($C147:J147)),+$C25*$B$146),0))</f>
        <v>0</v>
      </c>
      <c r="L147" s="358">
        <f>+IF(K147=0,0,+IF(ROUNDUP(SUM($C147:K147),0)&lt;$C25,MIN(($C25-SUM($C147:K147)),+$C25*$B$146),0))</f>
        <v>0</v>
      </c>
      <c r="M147" s="358">
        <f>+IF(L147=0,0,+IF(ROUNDUP(SUM($C147:L147),0)&lt;$C25,MIN(($C25-SUM($C147:L147)),+$C25*$B$146),0))</f>
        <v>0</v>
      </c>
    </row>
    <row r="148" spans="1:13" ht="10.5" hidden="1">
      <c r="A148" s="288">
        <f t="shared" si="46"/>
        <v>2022</v>
      </c>
      <c r="B148" s="286"/>
      <c r="C148" s="287"/>
      <c r="D148" s="366">
        <f>+IF(D$25&lt;0,0,D$25*$B$146)/12*D$31</f>
        <v>0</v>
      </c>
      <c r="E148" s="358">
        <f>+IF(D148=0,0,+IF(ROUNDUP(SUM($D148:D148),0)&lt;$D25,MIN(($D25-SUM($D148:D148)),+$D25*$B$146),0))</f>
        <v>0</v>
      </c>
      <c r="F148" s="358">
        <f>+IF(E148=0,0,+IF(ROUNDUP(SUM($D148:E148),0)&lt;$D25,MIN(($D25-SUM($D148:E148)),+$D25*$B$146),0))</f>
        <v>0</v>
      </c>
      <c r="G148" s="358">
        <f>+IF(F148=0,0,+IF(ROUNDUP(SUM($D148:F148),0)&lt;$D25,MIN(($D25-SUM($D148:F148)),+$D25*$B$146),0))</f>
        <v>0</v>
      </c>
      <c r="H148" s="358">
        <f>+IF(G148=0,0,+IF(ROUNDUP(SUM($D148:G148),0)&lt;$D25,MIN(($D25-SUM($D148:G148)),+$D25*$B$146),0))</f>
        <v>0</v>
      </c>
      <c r="I148" s="358">
        <f>+IF(H148=0,0,+IF(ROUNDUP(SUM($D148:H148),0)&lt;$D25,MIN(($D25-SUM($D148:H148)),+$D25*$B$146),0))</f>
        <v>0</v>
      </c>
      <c r="J148" s="358">
        <f>+IF(I148=0,0,+IF(ROUNDUP(SUM($D148:I148),0)&lt;$D25,MIN(($D25-SUM($D148:I148)),+$D25*$B$146),0))</f>
        <v>0</v>
      </c>
      <c r="K148" s="358">
        <f>+IF(J148=0,0,+IF(ROUNDUP(SUM($D148:J148),0)&lt;$D25,MIN(($D25-SUM($D148:J148)),+$D25*$B$146),0))</f>
        <v>0</v>
      </c>
      <c r="L148" s="358">
        <f>+IF(K148=0,0,+IF(ROUNDUP(SUM($D148:K148),0)&lt;$D25,MIN(($D25-SUM($D148:K148)),+$D25*$B$146),0))</f>
        <v>0</v>
      </c>
      <c r="M148" s="358">
        <f>+IF(L148=0,0,+IF(ROUNDUP(SUM($D148:L148),0)&lt;$D25,MIN(($D25-SUM($D148:L148)),+$D25*$B$146),0))</f>
        <v>0</v>
      </c>
    </row>
    <row r="149" spans="1:13" ht="10.5" hidden="1">
      <c r="A149" s="288">
        <f t="shared" si="46"/>
        <v>2023</v>
      </c>
      <c r="B149" s="286"/>
      <c r="C149" s="287"/>
      <c r="D149" s="287"/>
      <c r="E149" s="366">
        <f>+IF(E$25&lt;0,0,E$25*$B$146)/12*E$31</f>
        <v>0</v>
      </c>
      <c r="F149" s="358">
        <f>+IF(E149=0,0,+IF(ROUNDUP(SUM($E149:E149),0)&lt;$E$25,MIN(($E$25-SUM($E149:E149)),+$E$25*$B$146),0))</f>
        <v>0</v>
      </c>
      <c r="G149" s="358">
        <f>+IF(F149=0,0,+IF(ROUNDUP(SUM($E149:F149),0)&lt;$E$25,MIN(($E$25-SUM($E149:F149)),+$E$25*$B$146),0))</f>
        <v>0</v>
      </c>
      <c r="H149" s="358">
        <f>+IF(G149=0,0,+IF(ROUNDUP(SUM($E149:G149),0)&lt;$E$25,MIN(($E$25-SUM($E149:G149)),+$E$25*$B$146),0))</f>
        <v>0</v>
      </c>
      <c r="I149" s="358">
        <f>+IF(H149=0,0,+IF(ROUNDUP(SUM($E149:H149),0)&lt;$E$25,MIN(($E$25-SUM($E149:H149)),+$E$25*$B$146),0))</f>
        <v>0</v>
      </c>
      <c r="J149" s="358">
        <f>+IF(I149=0,0,+IF(ROUNDUP(SUM($E149:I149),0)&lt;$E$25,MIN(($E$25-SUM($E149:I149)),+$E$25*$B$146),0))</f>
        <v>0</v>
      </c>
      <c r="K149" s="358">
        <f>+IF(J149=0,0,+IF(ROUNDUP(SUM($E149:J149),0)&lt;$E$25,MIN(($E$25-SUM($E149:J149)),+$E$25*$B$146),0))</f>
        <v>0</v>
      </c>
      <c r="L149" s="358">
        <f>+IF(K149=0,0,+IF(ROUNDUP(SUM($E149:K149),0)&lt;$E$25,MIN(($E$25-SUM($E149:K149)),+$E$25*$B$146),0))</f>
        <v>0</v>
      </c>
      <c r="M149" s="358">
        <f>+IF(L149=0,0,+IF(ROUNDUP(SUM($E149:L149),0)&lt;$E$25,MIN(($E$25-SUM($E149:L149)),+$E$25*$B$146),0))</f>
        <v>0</v>
      </c>
    </row>
    <row r="150" spans="1:13" ht="10.5" hidden="1">
      <c r="A150" s="288">
        <f t="shared" si="46"/>
        <v>2024</v>
      </c>
      <c r="B150" s="286"/>
      <c r="C150" s="287"/>
      <c r="D150" s="287"/>
      <c r="E150" s="287"/>
      <c r="F150" s="366">
        <f>+IF(F$25&lt;0,0,F$25*$B$146)/12*F$31</f>
        <v>0</v>
      </c>
      <c r="G150" s="358">
        <f>+IF(F150=0,0,+IF(ROUNDUP(SUM($F150:F150),0)&lt;$F$25,MIN(($F$25-SUM($F150:F150)),+$F$25*$B$146),0))</f>
        <v>0</v>
      </c>
      <c r="H150" s="358">
        <f>+IF(G150=0,0,+IF(ROUNDUP(SUM($F150:G150),0)&lt;$F$25,MIN(($F$25-SUM($F150:G150)),+$F$25*$B$146),0))</f>
        <v>0</v>
      </c>
      <c r="I150" s="358">
        <f>+IF(H150=0,0,+IF(ROUNDUP(SUM($F150:H150),0)&lt;$F$25,MIN(($F$25-SUM($F150:H150)),+$F$25*$B$146),0))</f>
        <v>0</v>
      </c>
      <c r="J150" s="358">
        <f>+IF(I150=0,0,+IF(ROUNDUP(SUM($F150:I150),0)&lt;$F$25,MIN(($F$25-SUM($F150:I150)),+$F$25*$B$146),0))</f>
        <v>0</v>
      </c>
      <c r="K150" s="358">
        <f>+IF(J150=0,0,+IF(ROUNDUP(SUM($F150:J150),0)&lt;$F$25,MIN(($F$25-SUM($F150:J150)),+$F$25*$B$146),0))</f>
        <v>0</v>
      </c>
      <c r="L150" s="358">
        <f>+IF(K150=0,0,+IF(ROUNDUP(SUM($F150:K150),0)&lt;$F$25,MIN(($F$25-SUM($F150:K150)),+$F$25*$B$146),0))</f>
        <v>0</v>
      </c>
      <c r="M150" s="358">
        <f>+IF(L150=0,0,+IF(ROUNDUP(SUM($F150:L150),0)&lt;$F$25,MIN(($F$25-SUM($F150:L150)),+$F$25*$B$146),0))</f>
        <v>0</v>
      </c>
    </row>
    <row r="151" spans="1:13" ht="10.5" hidden="1">
      <c r="A151" s="288">
        <f t="shared" si="46"/>
        <v>2025</v>
      </c>
      <c r="B151" s="286"/>
      <c r="C151" s="287"/>
      <c r="D151" s="287"/>
      <c r="E151" s="287"/>
      <c r="F151" s="287"/>
      <c r="G151" s="366">
        <f>+IF(G$25&lt;0,0,G$25*$B$146)/12*G$31</f>
        <v>20000</v>
      </c>
      <c r="H151" s="358">
        <f>+IF(G151=0,0,+IF(ROUNDUP(SUM($G151:G151),0)&lt;$G$25,MIN(($G$25-SUM($G151:G151)),+$G$25*$B$146),0))</f>
        <v>20000</v>
      </c>
      <c r="I151" s="358">
        <f>+IF(H151=0,0,+IF(ROUNDUP(SUM($G151:H151),0)&lt;$G$25,MIN(($G$25-SUM($G151:H151)),+$G$25*$B$146),0))</f>
        <v>20000</v>
      </c>
      <c r="J151" s="358">
        <f>+IF(I151=0,0,+IF(ROUNDUP(SUM($G151:I151),0)&lt;$G$25,MIN(($G$25-SUM($G151:I151)),+$G$25*$B$146),0))</f>
        <v>0</v>
      </c>
      <c r="K151" s="358">
        <f>+IF(J151=0,0,+IF(ROUNDUP(SUM($G151:J151),0)&lt;$G$25,MIN(($G$25-SUM($G151:J151)),+$G$25*$B$146),0))</f>
        <v>0</v>
      </c>
      <c r="L151" s="358">
        <f>+IF(K151=0,0,+IF(ROUNDUP(SUM($G151:K151),0)&lt;$G$25,MIN(($G$25-SUM($G151:K151)),+$G$25*$B$146),0))</f>
        <v>0</v>
      </c>
      <c r="M151" s="358">
        <f>+IF(L151=0,0,+IF(ROUNDUP(SUM($G151:L151),0)&lt;$G$25,MIN(($G$25-SUM($G151:L151)),+$G$25*$B$146),0))</f>
        <v>0</v>
      </c>
    </row>
    <row r="152" spans="1:13" ht="10.5" hidden="1">
      <c r="A152" s="288">
        <f t="shared" si="46"/>
        <v>2026</v>
      </c>
      <c r="B152" s="286"/>
      <c r="C152" s="287"/>
      <c r="D152" s="287"/>
      <c r="E152" s="287"/>
      <c r="F152" s="287"/>
      <c r="G152" s="287"/>
      <c r="H152" s="366">
        <f>+IF(H$25&lt;0,0,H$25*$B$146)/12*H$31</f>
        <v>0</v>
      </c>
      <c r="I152" s="358">
        <f>+IF(H152=0,0,+IF(ROUNDUP(SUM($H152:H152),0)&lt;$H$25,MIN(($H$25-SUM($H152:H152)),+$H$25*$B$146),0))</f>
        <v>0</v>
      </c>
      <c r="J152" s="358">
        <f>+IF(I152=0,0,+IF(ROUNDUP(SUM($H152:I152),0)&lt;$H$25,MIN(($H$25-SUM($H152:I152)),+$H$25*$B$146),0))</f>
        <v>0</v>
      </c>
      <c r="K152" s="358">
        <f>+IF(J152=0,0,+IF(ROUNDUP(SUM($H152:J152),0)&lt;$H$25,MIN(($H$25-SUM($H152:J152)),+$H$25*$B$146),0))</f>
        <v>0</v>
      </c>
      <c r="L152" s="358">
        <f>+IF(K152=0,0,+IF(ROUNDUP(SUM($H152:K152),0)&lt;$H$25,MIN(($H$25-SUM($H152:K152)),+$H$25*$B$146),0))</f>
        <v>0</v>
      </c>
      <c r="M152" s="358">
        <f>+IF(L152=0,0,+IF(ROUNDUP(SUM($H152:L152),0)&lt;$H$25,MIN(($H$25-SUM($H152:L152)),+$H$25*$B$146),0))</f>
        <v>0</v>
      </c>
    </row>
    <row r="153" spans="1:13" ht="10.5" hidden="1">
      <c r="A153" s="364" t="s">
        <v>181</v>
      </c>
      <c r="B153" s="362">
        <f>+C74</f>
        <v>0.3333333333333333</v>
      </c>
      <c r="C153" s="363">
        <f>SUM(C154:C159)</f>
        <v>0</v>
      </c>
      <c r="D153" s="363">
        <f>SUM(D154:D159)</f>
        <v>0</v>
      </c>
      <c r="E153" s="363">
        <f>SUM(E154:E159)</f>
        <v>0</v>
      </c>
      <c r="F153" s="363">
        <f aca="true" t="shared" si="47" ref="F153:K153">SUM(F154:F159)</f>
        <v>0</v>
      </c>
      <c r="G153" s="363">
        <f t="shared" si="47"/>
        <v>6666.666666666666</v>
      </c>
      <c r="H153" s="363">
        <f t="shared" si="47"/>
        <v>13333.333333333332</v>
      </c>
      <c r="I153" s="363">
        <f t="shared" si="47"/>
        <v>13333.333333333332</v>
      </c>
      <c r="J153" s="363">
        <f t="shared" si="47"/>
        <v>6666.666666666666</v>
      </c>
      <c r="K153" s="363">
        <f t="shared" si="47"/>
        <v>0</v>
      </c>
      <c r="L153" s="363">
        <f>SUM(L154:L159)</f>
        <v>0</v>
      </c>
      <c r="M153" s="363">
        <f>SUM(M154:M159)</f>
        <v>0</v>
      </c>
    </row>
    <row r="154" spans="1:13" ht="10.5" hidden="1">
      <c r="A154" s="288">
        <f aca="true" t="shared" si="48" ref="A154:A166">A147</f>
        <v>2021</v>
      </c>
      <c r="B154" s="286"/>
      <c r="C154" s="366">
        <f>+IF(C$26&lt;0,0,C$26*$B$153)/12*C$31</f>
        <v>0</v>
      </c>
      <c r="D154" s="358">
        <f>+IF(C154=0,0,+IF(ROUNDUP(SUM($C154:C154),0)&lt;$C$26,MIN(($C$26-SUM($C154:C154)),+$C$26*$B$153),0))</f>
        <v>0</v>
      </c>
      <c r="E154" s="358">
        <f>+IF(D154=0,0,+IF(ROUNDUP(SUM($C154:D154),0)&lt;$C$26,MIN(($C$26-SUM($C154:D154)),+$C$26*$B$153),0))</f>
        <v>0</v>
      </c>
      <c r="F154" s="358">
        <f>+IF(E154=0,0,+IF(ROUNDUP(SUM($C154:E154),0)&lt;$C$26,MIN(($C$26-SUM($C154:E154)),+$C$26*$B$153),0))</f>
        <v>0</v>
      </c>
      <c r="G154" s="358">
        <f>+IF(F154=0,0,+IF(ROUNDUP(SUM($C154:F154),0)&lt;$C$26,MIN(($C$26-SUM($C154:F154)),+$C$26*$B$153),0))</f>
        <v>0</v>
      </c>
      <c r="H154" s="358">
        <f>+IF(G154=0,0,+IF(ROUNDUP(SUM($C154:G154),0)&lt;$C$26,MIN(($C$26-SUM($C154:G154)),+$C$26*$B$153),0))</f>
        <v>0</v>
      </c>
      <c r="I154" s="358">
        <f>+IF(H154=0,0,+IF(ROUNDUP(SUM($C154:H154),0)&lt;$C$26,MIN(($C$26-SUM($C154:H154)),+$C$26*$B$153),0))</f>
        <v>0</v>
      </c>
      <c r="J154" s="358">
        <f>+IF(I154=0,0,+IF(ROUNDUP(SUM($C154:I154),0)&lt;$C$26,MIN(($C$26-SUM($C154:I154)),+$C$26*$B$153),0))</f>
        <v>0</v>
      </c>
      <c r="K154" s="358">
        <f>+IF(J154=0,0,+IF(ROUNDUP(SUM($C154:J154),0)&lt;$C$26,MIN(($C$26-SUM($C154:J154)),+$C$26*$B$153),0))</f>
        <v>0</v>
      </c>
      <c r="L154" s="358">
        <f>+IF(K154=0,0,+IF(ROUNDUP(SUM($C154:K154),0)&lt;$C$26,MIN(($C$26-SUM($C154:K154)),+$C$26*$B$153),0))</f>
        <v>0</v>
      </c>
      <c r="M154" s="358">
        <f>+IF(L154=0,0,+IF(ROUNDUP(SUM($C154:L154),0)&lt;$C$26,MIN(($C$26-SUM($C154:L154)),+$C$26*$B$153),0))</f>
        <v>0</v>
      </c>
    </row>
    <row r="155" spans="1:13" ht="10.5" hidden="1">
      <c r="A155" s="288">
        <f t="shared" si="48"/>
        <v>2022</v>
      </c>
      <c r="B155" s="286"/>
      <c r="C155" s="287"/>
      <c r="D155" s="366">
        <f>+IF(D$26&lt;0,0,D$26*$B$153)/12*D$31</f>
        <v>0</v>
      </c>
      <c r="E155" s="358">
        <f>+IF(D155=0,0,+IF(ROUNDUP(SUM($D155:D155),0)&lt;$D$26,MIN(($D$26-SUM($D155:D155)),+$D$26*$B$153),0))</f>
        <v>0</v>
      </c>
      <c r="F155" s="358">
        <f>+IF(E155=0,0,+IF(ROUNDUP(SUM($D155:E155),0)&lt;$D$26,MIN(($D$26-SUM($D155:E155)),+$D$26*$B$153),0))</f>
        <v>0</v>
      </c>
      <c r="G155" s="358">
        <f>+IF(F155=0,0,+IF(ROUNDUP(SUM($D155:F155),0)&lt;$D$26,MIN(($D$26-SUM($D155:F155)),+$D$26*$B$153),0))</f>
        <v>0</v>
      </c>
      <c r="H155" s="358">
        <f>+IF(G155=0,0,+IF(ROUNDUP(SUM($D155:G155),0)&lt;$D$26,MIN(($D$26-SUM($D155:G155)),+$D$26*$B$153),0))</f>
        <v>0</v>
      </c>
      <c r="I155" s="358">
        <f>+IF(H155=0,0,+IF(ROUNDUP(SUM($D155:H155),0)&lt;$D$26,MIN(($D$26-SUM($D155:H155)),+$D$26*$B$153),0))</f>
        <v>0</v>
      </c>
      <c r="J155" s="358">
        <f>+IF(I155=0,0,+IF(ROUNDUP(SUM($D155:I155),0)&lt;$D$26,MIN(($D$26-SUM($D155:I155)),+$D$26*$B$153),0))</f>
        <v>0</v>
      </c>
      <c r="K155" s="358">
        <f>+IF(J155=0,0,+IF(ROUNDUP(SUM($D155:J155),0)&lt;$D$26,MIN(($D$26-SUM($D155:J155)),+$D$26*$B$153),0))</f>
        <v>0</v>
      </c>
      <c r="L155" s="358">
        <f>+IF(K155=0,0,+IF(ROUNDUP(SUM($D155:K155),0)&lt;$D$26,MIN(($D$26-SUM($D155:K155)),+$D$26*$B$153),0))</f>
        <v>0</v>
      </c>
      <c r="M155" s="358">
        <f>+IF(L155=0,0,+IF(ROUNDUP(SUM($D155:L155),0)&lt;$D$26,MIN(($D$26-SUM($D155:L155)),+$D$26*$B$153),0))</f>
        <v>0</v>
      </c>
    </row>
    <row r="156" spans="1:13" ht="10.5" hidden="1">
      <c r="A156" s="288">
        <f t="shared" si="48"/>
        <v>2023</v>
      </c>
      <c r="B156" s="286"/>
      <c r="C156" s="287"/>
      <c r="D156" s="287"/>
      <c r="E156" s="366">
        <f>+IF(E$26&lt;0,0,E$26*$B$153)/12*E$31</f>
        <v>0</v>
      </c>
      <c r="F156" s="358">
        <f>+IF(E156=0,0,+IF(ROUNDUP(SUM($E156:E156),0)&lt;$E$26,MIN(($E$26-SUM($E156:E156)),+$E$26*$B$153),0))</f>
        <v>0</v>
      </c>
      <c r="G156" s="358">
        <f>+IF(F156=0,0,+IF(ROUNDUP(SUM($E156:F156),0)&lt;$E$26,MIN(($E$26-SUM($E156:F156)),+$E$26*$B$153),0))</f>
        <v>0</v>
      </c>
      <c r="H156" s="358">
        <f>+IF(G156=0,0,+IF(ROUNDUP(SUM($E156:G156),0)&lt;$E$26,MIN(($E$26-SUM($E156:G156)),+$E$26*$B$153),0))</f>
        <v>0</v>
      </c>
      <c r="I156" s="358">
        <f>+IF(H156=0,0,+IF(ROUNDUP(SUM($E156:H156),0)&lt;$E$26,MIN(($E$26-SUM($E156:H156)),+$E$26*$B$153),0))</f>
        <v>0</v>
      </c>
      <c r="J156" s="358">
        <f>+IF(I156=0,0,+IF(ROUNDUP(SUM($E156:I156),0)&lt;$E$26,MIN(($E$26-SUM($E156:I156)),+$E$26*$B$153),0))</f>
        <v>0</v>
      </c>
      <c r="K156" s="358">
        <f>+IF(J156=0,0,+IF(ROUNDUP(SUM($E156:J156),0)&lt;$E$26,MIN(($E$26-SUM($E156:J156)),+$E$26*$B$153),0))</f>
        <v>0</v>
      </c>
      <c r="L156" s="358">
        <f>+IF(K156=0,0,+IF(ROUNDUP(SUM($E156:K156),0)&lt;$E$26,MIN(($E$26-SUM($E156:K156)),+$E$26*$B$153),0))</f>
        <v>0</v>
      </c>
      <c r="M156" s="358">
        <f>+IF(L156=0,0,+IF(ROUNDUP(SUM($E156:L156),0)&lt;$E$26,MIN(($E$26-SUM($E156:L156)),+$E$26*$B$153),0))</f>
        <v>0</v>
      </c>
    </row>
    <row r="157" spans="1:13" ht="10.5" hidden="1">
      <c r="A157" s="288">
        <f t="shared" si="48"/>
        <v>2024</v>
      </c>
      <c r="B157" s="286"/>
      <c r="C157" s="287"/>
      <c r="D157" s="287"/>
      <c r="E157" s="287"/>
      <c r="F157" s="366">
        <f>+IF(F$26&lt;0,0,F$26*$B$153)/12*F$31</f>
        <v>0</v>
      </c>
      <c r="G157" s="358">
        <f>+IF(F157=0,0,+IF(ROUNDUP(SUM($F157:F157),0)&lt;$F$26,MIN(($F$26-SUM($F157:F157)),+$F$26*$B$153),0))</f>
        <v>0</v>
      </c>
      <c r="H157" s="358">
        <f>+IF(G157=0,0,+IF(ROUNDUP(SUM($F157:G157),0)&lt;$F$26,MIN(($F$26-SUM($F157:G157)),+$F$26*$B$153),0))</f>
        <v>0</v>
      </c>
      <c r="I157" s="358">
        <f>+IF(H157=0,0,+IF(ROUNDUP(SUM($F157:H157),0)&lt;$F$26,MIN(($F$26-SUM($F157:H157)),+$F$26*$B$153),0))</f>
        <v>0</v>
      </c>
      <c r="J157" s="358">
        <f>+IF(I157=0,0,+IF(ROUNDUP(SUM($F157:I157),0)&lt;$F$26,MIN(($F$26-SUM($F157:I157)),+$F$26*$B$153),0))</f>
        <v>0</v>
      </c>
      <c r="K157" s="358">
        <f>+IF(J157=0,0,+IF(ROUNDUP(SUM($F157:J157),0)&lt;$F$26,MIN(($F$26-SUM($F157:J157)),+$F$26*$B$153),0))</f>
        <v>0</v>
      </c>
      <c r="L157" s="358">
        <f>+IF(K157=0,0,+IF(ROUNDUP(SUM($F157:K157),0)&lt;$F$26,MIN(($F$26-SUM($F157:K157)),+$F$26*$B$153),0))</f>
        <v>0</v>
      </c>
      <c r="M157" s="358">
        <f>+IF(L157=0,0,+IF(ROUNDUP(SUM($F157:L157),0)&lt;$F$26,MIN(($F$26-SUM($F157:L157)),+$F$26*$B$153),0))</f>
        <v>0</v>
      </c>
    </row>
    <row r="158" spans="1:13" ht="10.5" hidden="1">
      <c r="A158" s="288">
        <f t="shared" si="48"/>
        <v>2025</v>
      </c>
      <c r="B158" s="286"/>
      <c r="C158" s="287"/>
      <c r="D158" s="287"/>
      <c r="E158" s="287"/>
      <c r="F158" s="287"/>
      <c r="G158" s="366">
        <f>+IF(G$26&lt;0,0,G$26*$B$153)/12*G$31</f>
        <v>6666.666666666666</v>
      </c>
      <c r="H158" s="358">
        <f>+IF(G158=0,0,+IF(ROUNDUP(SUM($G158:G158),0)&lt;$G$26,MIN(($G$26-SUM($G158:G158)),+$G$26*$B$153),0))</f>
        <v>6666.666666666666</v>
      </c>
      <c r="I158" s="358">
        <f>+IF(H158=0,0,+IF(ROUNDUP(SUM($G158:H158),0)&lt;$G$26,MIN(($G$26-SUM($G158:H158)),+$G$26*$B$153),0))</f>
        <v>6666.666666666666</v>
      </c>
      <c r="J158" s="358">
        <f>+IF(I158=0,0,+IF(ROUNDUP(SUM($G158:I158),0)&lt;$G$26,MIN(($G$26-SUM($G158:I158)),+$G$26*$B$153),0))</f>
        <v>0</v>
      </c>
      <c r="K158" s="358">
        <f>+IF(J158=0,0,+IF(ROUNDUP(SUM($G158:J158),0)&lt;$G$26,MIN(($G$26-SUM($G158:J158)),+$G$26*$B$153),0))</f>
        <v>0</v>
      </c>
      <c r="L158" s="358">
        <f>+IF(K158=0,0,+IF(ROUNDUP(SUM($G158:K158),0)&lt;$G$26,MIN(($G$26-SUM($G158:K158)),+$G$26*$B$153),0))</f>
        <v>0</v>
      </c>
      <c r="M158" s="358">
        <f>+IF(L158=0,0,+IF(ROUNDUP(SUM($G158:L158),0)&lt;$G$26,MIN(($G$26-SUM($G158:L158)),+$G$26*$B$153),0))</f>
        <v>0</v>
      </c>
    </row>
    <row r="159" spans="1:13" ht="10.5" hidden="1">
      <c r="A159" s="288">
        <f t="shared" si="48"/>
        <v>2026</v>
      </c>
      <c r="B159" s="286"/>
      <c r="C159" s="287"/>
      <c r="D159" s="287"/>
      <c r="E159" s="287"/>
      <c r="F159" s="287"/>
      <c r="G159" s="287"/>
      <c r="H159" s="366">
        <f>+IF(H$26&lt;0,0,H$26*$B$153)/12*H$31</f>
        <v>6666.666666666666</v>
      </c>
      <c r="I159" s="358">
        <f>+IF(H159=0,0,+IF(ROUNDUP(SUM($H159:H159),0)&lt;$H$26,MIN(($H$26-SUM($H159:H159)),+$H$26*$B$153),0))</f>
        <v>6666.666666666666</v>
      </c>
      <c r="J159" s="358">
        <f>+IF(I159=0,0,+IF(ROUNDUP(SUM($H159:I159),0)&lt;$H$26,MIN(($H$26-SUM($H159:I159)),+$H$26*$B$153),0))</f>
        <v>6666.666666666666</v>
      </c>
      <c r="K159" s="358">
        <f>+IF(J159=0,0,+IF(ROUNDUP(SUM($H159:J159),0)&lt;$H$26,MIN(($H$26-SUM($H159:J159)),+$H$26*$B$153),0))</f>
        <v>0</v>
      </c>
      <c r="L159" s="358">
        <f>+IF(K159=0,0,+IF(ROUNDUP(SUM($H159:K159),0)&lt;$H$26,MIN(($H$26-SUM($H159:K159)),+$H$26*$B$153),0))</f>
        <v>0</v>
      </c>
      <c r="M159" s="358">
        <f>+IF(L159=0,0,+IF(ROUNDUP(SUM($H159:L159),0)&lt;$H$26,MIN(($H$26-SUM($H159:L159)),+$H$26*$B$153),0))</f>
        <v>0</v>
      </c>
    </row>
    <row r="160" spans="1:13" ht="10.5" hidden="1">
      <c r="A160" s="364" t="s">
        <v>182</v>
      </c>
      <c r="B160" s="362">
        <f>+C75</f>
        <v>0.3333333333333333</v>
      </c>
      <c r="C160" s="363">
        <f>SUM(C161:C166)</f>
        <v>0</v>
      </c>
      <c r="D160" s="363">
        <f>SUM(D161:D166)</f>
        <v>0</v>
      </c>
      <c r="E160" s="363">
        <f>SUM(E161:E166)</f>
        <v>0</v>
      </c>
      <c r="F160" s="363">
        <f aca="true" t="shared" si="49" ref="F160:K160">SUM(F161:F166)</f>
        <v>0</v>
      </c>
      <c r="G160" s="363">
        <f t="shared" si="49"/>
        <v>250000</v>
      </c>
      <c r="H160" s="363">
        <f t="shared" si="49"/>
        <v>400000</v>
      </c>
      <c r="I160" s="363">
        <f t="shared" si="49"/>
        <v>400000</v>
      </c>
      <c r="J160" s="363">
        <f t="shared" si="49"/>
        <v>150000</v>
      </c>
      <c r="K160" s="363">
        <f t="shared" si="49"/>
        <v>0</v>
      </c>
      <c r="L160" s="363">
        <f>SUM(L161:L166)</f>
        <v>0</v>
      </c>
      <c r="M160" s="363">
        <f>SUM(M161:M166)</f>
        <v>0</v>
      </c>
    </row>
    <row r="161" spans="1:13" ht="10.5" hidden="1">
      <c r="A161" s="288">
        <f t="shared" si="48"/>
        <v>2021</v>
      </c>
      <c r="B161" s="286"/>
      <c r="C161" s="366">
        <f>+IF(C$27&lt;0,0,C$27*$B$153)/12*C$31</f>
        <v>0</v>
      </c>
      <c r="D161" s="358">
        <f>+IF(C161=0,0,+IF(ROUNDUP(SUM($C161:C161),0)&lt;$C27,MIN(($C27-SUM($C161:C161)),+$C27*$B$160),0))</f>
        <v>0</v>
      </c>
      <c r="E161" s="358">
        <f>+IF(D161=0,0,+IF(ROUNDUP(SUM($C161:D161),0)&lt;$C27,MIN(($C27-SUM($C161:D161)),+$C27*$B$160),0))</f>
        <v>0</v>
      </c>
      <c r="F161" s="358">
        <f>+IF(E161=0,0,+IF(ROUNDUP(SUM($C161:E161),0)&lt;$C27,MIN(($C27-SUM($C161:E161)),+$C27*$B$160),0))</f>
        <v>0</v>
      </c>
      <c r="G161" s="358">
        <f>+IF(F161=0,0,+IF(ROUNDUP(SUM($C161:F161),0)&lt;$C27,MIN(($C27-SUM($C161:F161)),+$C27*$B$160),0))</f>
        <v>0</v>
      </c>
      <c r="H161" s="358">
        <f>+IF(G161=0,0,+IF(ROUNDUP(SUM($C161:G161),0)&lt;$C27,MIN(($C27-SUM($C161:G161)),+$C27*$B$160),0))</f>
        <v>0</v>
      </c>
      <c r="I161" s="358">
        <f>+IF(H161=0,0,+IF(ROUNDUP(SUM($C161:H161),0)&lt;$C27,MIN(($C27-SUM($C161:H161)),+$C27*$B$160),0))</f>
        <v>0</v>
      </c>
      <c r="J161" s="358">
        <f>+IF(I161=0,0,+IF(ROUNDUP(SUM($C161:I161),0)&lt;$C27,MIN(($C27-SUM($C161:I161)),+$C27*$B$160),0))</f>
        <v>0</v>
      </c>
      <c r="K161" s="358">
        <f>+IF(J161=0,0,+IF(ROUNDUP(SUM($C161:J161),0)&lt;$C27,MIN(($C27-SUM($C161:J161)),+$C27*$B$160),0))</f>
        <v>0</v>
      </c>
      <c r="L161" s="358">
        <f>+IF(K161=0,0,+IF(ROUNDUP(SUM($C161:K161),0)&lt;$C27,MIN(($C27-SUM($C161:K161)),+$C27*$B$160),0))</f>
        <v>0</v>
      </c>
      <c r="M161" s="358">
        <f>+IF(L161=0,0,+IF(ROUNDUP(SUM($C161:L161),0)&lt;$C27,MIN(($C27-SUM($C161:L161)),+$C27*$B$160),0))</f>
        <v>0</v>
      </c>
    </row>
    <row r="162" spans="1:13" ht="10.5" hidden="1">
      <c r="A162" s="288">
        <f t="shared" si="48"/>
        <v>2022</v>
      </c>
      <c r="B162" s="286"/>
      <c r="C162" s="287"/>
      <c r="D162" s="366">
        <f>+IF(D$27&lt;0,0,D$27*$B$153)/12*D$31</f>
        <v>0</v>
      </c>
      <c r="E162" s="358">
        <f>+IF(D162=0,0,+IF(ROUNDUP(SUM($D162:D162),0)&lt;$D$27,MIN(($D$27-SUM($C162:D162)),+$D$27*$B$160),0))</f>
        <v>0</v>
      </c>
      <c r="F162" s="358">
        <f>+IF(E162=0,0,+IF(ROUNDUP(SUM($D162:E162),0)&lt;$D$27,MIN(($D$27-SUM($C162:E162)),+$D$27*$B$160),0))</f>
        <v>0</v>
      </c>
      <c r="G162" s="358">
        <f>+IF(F162=0,0,+IF(ROUNDUP(SUM($D162:F162),0)&lt;$D$27,MIN(($D$27-SUM($C162:F162)),+$D$27*$B$160),0))</f>
        <v>0</v>
      </c>
      <c r="H162" s="358">
        <f>+IF(G162=0,0,+IF(ROUNDUP(SUM($D162:G162),0)&lt;$D$27,MIN(($D$27-SUM($C162:G162)),+$D$27*$B$160),0))</f>
        <v>0</v>
      </c>
      <c r="I162" s="358">
        <f>+IF(H162=0,0,+IF(ROUNDUP(SUM($D162:H162),0)&lt;$D$27,MIN(($D$27-SUM($C162:H162)),+$D$27*$B$160),0))</f>
        <v>0</v>
      </c>
      <c r="J162" s="358">
        <f>+IF(I162=0,0,+IF(ROUNDUP(SUM($D162:I162),0)&lt;$D$27,MIN(($D$27-SUM($C162:I162)),+$D$27*$B$160),0))</f>
        <v>0</v>
      </c>
      <c r="K162" s="358">
        <f>+IF(J162=0,0,+IF(ROUNDUP(SUM($D162:J162),0)&lt;$D$27,MIN(($D$27-SUM($C162:J162)),+$D$27*$B$160),0))</f>
        <v>0</v>
      </c>
      <c r="L162" s="358">
        <f>+IF(K162=0,0,+IF(ROUNDUP(SUM($D162:K162),0)&lt;$D$27,MIN(($D$27-SUM($C162:K162)),+$D$27*$B$160),0))</f>
        <v>0</v>
      </c>
      <c r="M162" s="358">
        <f>+IF(L162=0,0,+IF(ROUNDUP(SUM($D162:L162),0)&lt;$D$27,MIN(($D$27-SUM($C162:L162)),+$D$27*$B$160),0))</f>
        <v>0</v>
      </c>
    </row>
    <row r="163" spans="1:13" ht="10.5" hidden="1">
      <c r="A163" s="288">
        <f t="shared" si="48"/>
        <v>2023</v>
      </c>
      <c r="B163" s="286"/>
      <c r="C163" s="287"/>
      <c r="D163" s="287"/>
      <c r="E163" s="366">
        <f>+IF(E$27&lt;0,0,E$27*$B$153)/12*E$31</f>
        <v>0</v>
      </c>
      <c r="F163" s="358">
        <f>+IF(E163=0,0,+IF(ROUNDUP(SUM($E163:E163),0)&lt;$E$27,MIN(($E$27-SUM($E163:E163)),+$E$27*$B$160),0))</f>
        <v>0</v>
      </c>
      <c r="G163" s="358">
        <f>+IF(F163=0,0,+IF(ROUNDUP(SUM($E163:F163),0)&lt;$E$27,MIN(($E$27-SUM($E163:F163)),+$E$27*$B$160),0))</f>
        <v>0</v>
      </c>
      <c r="H163" s="358">
        <f>+IF(G163=0,0,+IF(ROUNDUP(SUM($E163:G163),0)&lt;$E$27,MIN(($E$27-SUM($E163:G163)),+$E$27*$B$160),0))</f>
        <v>0</v>
      </c>
      <c r="I163" s="358">
        <f>+IF(H163=0,0,+IF(ROUNDUP(SUM($E163:H163),0)&lt;$E$27,MIN(($E$27-SUM($E163:H163)),+$E$27*$B$160),0))</f>
        <v>0</v>
      </c>
      <c r="J163" s="358">
        <f>+IF(I163=0,0,+IF(ROUNDUP(SUM($E163:I163),0)&lt;$E$27,MIN(($E$27-SUM($E163:I163)),+$E$27*$B$160),0))</f>
        <v>0</v>
      </c>
      <c r="K163" s="358">
        <f>+IF(J163=0,0,+IF(ROUNDUP(SUM($E163:J163),0)&lt;$E$27,MIN(($E$27-SUM($E163:J163)),+$E$27*$B$160),0))</f>
        <v>0</v>
      </c>
      <c r="L163" s="358">
        <f>+IF(K163=0,0,+IF(ROUNDUP(SUM($E163:K163),0)&lt;$E$27,MIN(($E$27-SUM($E163:K163)),+$E$27*$B$160),0))</f>
        <v>0</v>
      </c>
      <c r="M163" s="358">
        <f>+IF(L163=0,0,+IF(ROUNDUP(SUM($E163:L163),0)&lt;$E$27,MIN(($E$27-SUM($E163:L163)),+$E$27*$B$160),0))</f>
        <v>0</v>
      </c>
    </row>
    <row r="164" spans="1:13" ht="10.5" hidden="1">
      <c r="A164" s="288">
        <f t="shared" si="48"/>
        <v>2024</v>
      </c>
      <c r="B164" s="286"/>
      <c r="C164" s="287"/>
      <c r="D164" s="287"/>
      <c r="E164" s="287"/>
      <c r="F164" s="366">
        <f>+IF(F$27&lt;0,0,F$27*$B$153)/12*F$31</f>
        <v>0</v>
      </c>
      <c r="G164" s="358">
        <f>+IF(F164=0,0,+IF(ROUNDUP(SUM($F164:F164),0)&lt;$F$27,MIN(($F$27-SUM($F164:F164)),+$F$27*$B$160),0))</f>
        <v>0</v>
      </c>
      <c r="H164" s="358">
        <f>+IF(G164=0,0,+IF(ROUNDUP(SUM($F164:G164),0)&lt;$F$27,MIN(($F$27-SUM($F164:G164)),+$F$27*$B$160),0))</f>
        <v>0</v>
      </c>
      <c r="I164" s="358">
        <f>+IF(H164=0,0,+IF(ROUNDUP(SUM($F164:H164),0)&lt;$F$27,MIN(($F$27-SUM($F164:H164)),+$F$27*$B$160),0))</f>
        <v>0</v>
      </c>
      <c r="J164" s="358">
        <f>+IF(I164=0,0,+IF(ROUNDUP(SUM($F164:I164),0)&lt;$F$27,MIN(($F$27-SUM($F164:I164)),+$F$27*$B$160),0))</f>
        <v>0</v>
      </c>
      <c r="K164" s="358">
        <f>+IF(J164=0,0,+IF(ROUNDUP(SUM($F164:J164),0)&lt;$F$27,MIN(($F$27-SUM($F164:J164)),+$F$27*$B$160),0))</f>
        <v>0</v>
      </c>
      <c r="L164" s="358">
        <f>+IF(K164=0,0,+IF(ROUNDUP(SUM($F164:K164),0)&lt;$F$27,MIN(($F$27-SUM($F164:K164)),+$F$27*$B$160),0))</f>
        <v>0</v>
      </c>
      <c r="M164" s="358">
        <f>+IF(L164=0,0,+IF(ROUNDUP(SUM($F164:L164),0)&lt;$F$27,MIN(($F$27-SUM($F164:L164)),+$F$27*$B$160),0))</f>
        <v>0</v>
      </c>
    </row>
    <row r="165" spans="1:13" ht="10.5" hidden="1">
      <c r="A165" s="288">
        <f t="shared" si="48"/>
        <v>2025</v>
      </c>
      <c r="B165" s="286"/>
      <c r="C165" s="287"/>
      <c r="D165" s="287"/>
      <c r="E165" s="287"/>
      <c r="F165" s="287"/>
      <c r="G165" s="366">
        <f>+IF(G$27&lt;0,0,G$27*$B$153)/12*G$31</f>
        <v>250000</v>
      </c>
      <c r="H165" s="358">
        <f>+IF(G165=0,0,+IF(ROUNDUP(SUM($G165:G165),0)&lt;$G$27,MIN(($G$27-SUM($G165:G165)),+$G$27*$B$160),0))</f>
        <v>250000</v>
      </c>
      <c r="I165" s="358">
        <f>+IF(H165=0,0,+IF(ROUNDUP(SUM($G165:H165),0)&lt;$G$27,MIN(($G$27-SUM($G165:H165)),+$G$27*$B$160),0))</f>
        <v>250000</v>
      </c>
      <c r="J165" s="358">
        <f>+IF(I165=0,0,+IF(ROUNDUP(SUM($G165:I165),0)&lt;$G$27,MIN(($G$27-SUM($G165:I165)),+$G$27*$B$160),0))</f>
        <v>0</v>
      </c>
      <c r="K165" s="358">
        <f>+IF(J165=0,0,+IF(ROUNDUP(SUM($G165:J165),0)&lt;$G$27,MIN(($G$27-SUM($G165:J165)),+$G$27*$B$160),0))</f>
        <v>0</v>
      </c>
      <c r="L165" s="358">
        <f>+IF(K165=0,0,+IF(ROUNDUP(SUM($G165:K165),0)&lt;$G$27,MIN(($G$27-SUM($G165:K165)),+$G$27*$B$160),0))</f>
        <v>0</v>
      </c>
      <c r="M165" s="358">
        <f>+IF(L165=0,0,+IF(ROUNDUP(SUM($G165:L165),0)&lt;$G$27,MIN(($G$27-SUM($G165:L165)),+$G$27*$B$160),0))</f>
        <v>0</v>
      </c>
    </row>
    <row r="166" spans="1:13" ht="10.5" hidden="1">
      <c r="A166" s="288">
        <f t="shared" si="48"/>
        <v>2026</v>
      </c>
      <c r="B166" s="286"/>
      <c r="C166" s="287"/>
      <c r="D166" s="287"/>
      <c r="E166" s="287"/>
      <c r="F166" s="287"/>
      <c r="G166" s="287"/>
      <c r="H166" s="366">
        <f>+IF(H$27&lt;0,0,H$27*$B$160)/12*H$31</f>
        <v>150000</v>
      </c>
      <c r="I166" s="358">
        <f>+IF(H166=0,0,+IF(ROUNDUP(SUM($H166:H166),0)&lt;$H$27,MIN(($H$27-SUM($H166:H166)),+$H$27*$B$160),0))</f>
        <v>150000</v>
      </c>
      <c r="J166" s="358">
        <f>+IF(I166=0,0,+IF(ROUNDUP(SUM($H166:I166),0)&lt;$H$27,MIN(($H$27-SUM($H166:I166)),+$H$27*$B$160),0))</f>
        <v>150000</v>
      </c>
      <c r="K166" s="358">
        <f>+IF(J166=0,0,+IF(ROUNDUP(SUM($H166:J166),0)&lt;$H$27,MIN(($H$27-SUM($H166:J166)),+$H$27*$B$160),0))</f>
        <v>0</v>
      </c>
      <c r="L166" s="358">
        <f>+IF(K166=0,0,+IF(ROUNDUP(SUM($H166:K166),0)&lt;$H$27,MIN(($H$27-SUM($H166:K166)),+$H$27*$B$160),0))</f>
        <v>0</v>
      </c>
      <c r="M166" s="358">
        <f>+IF(L166=0,0,+IF(ROUNDUP(SUM($H166:L166),0)&lt;$H$27,MIN(($H$27-SUM($H166:L166)),+$H$27*$B$160),0))</f>
        <v>0</v>
      </c>
    </row>
    <row r="167" spans="1:13" ht="10.5" hidden="1">
      <c r="A167" s="594" t="s">
        <v>30</v>
      </c>
      <c r="B167" s="595"/>
      <c r="C167" s="296">
        <f>+C139+C146+C153+C160</f>
        <v>0</v>
      </c>
      <c r="D167" s="296">
        <f>+D139+D146+D153+D160</f>
        <v>0</v>
      </c>
      <c r="E167" s="296">
        <f>+E139+E146+E153+E160</f>
        <v>0</v>
      </c>
      <c r="F167" s="296">
        <f aca="true" t="shared" si="50" ref="F167:K167">+F139+F146+F153+F160</f>
        <v>0</v>
      </c>
      <c r="G167" s="296">
        <f t="shared" si="50"/>
        <v>1033659.0966666667</v>
      </c>
      <c r="H167" s="296">
        <f t="shared" si="50"/>
        <v>1453656.4633333334</v>
      </c>
      <c r="I167" s="296">
        <f t="shared" si="50"/>
        <v>1453656.4633333334</v>
      </c>
      <c r="J167" s="296">
        <f t="shared" si="50"/>
        <v>420020.07666666666</v>
      </c>
      <c r="K167" s="296">
        <f t="shared" si="50"/>
        <v>7.899999999906868</v>
      </c>
      <c r="L167" s="296">
        <f>+L139+L146+L153+L160</f>
        <v>0</v>
      </c>
      <c r="M167" s="296">
        <f>+M139+M146+M153+M160</f>
        <v>0</v>
      </c>
    </row>
    <row r="168" spans="1:13" ht="10.5">
      <c r="A168" s="594" t="s">
        <v>294</v>
      </c>
      <c r="B168" s="595"/>
      <c r="C168" s="291">
        <f>+C93+C137+C167</f>
        <v>0</v>
      </c>
      <c r="D168" s="291">
        <f>+D93+D137+D167</f>
        <v>0</v>
      </c>
      <c r="E168" s="291">
        <f>+E93+E137+E167</f>
        <v>0</v>
      </c>
      <c r="F168" s="291">
        <f aca="true" t="shared" si="51" ref="F168:K168">+F93+F137+F167</f>
        <v>0</v>
      </c>
      <c r="G168" s="291">
        <f t="shared" si="51"/>
        <v>1074909.0966666667</v>
      </c>
      <c r="H168" s="291">
        <f t="shared" si="51"/>
        <v>2443206.4633333334</v>
      </c>
      <c r="I168" s="291">
        <f t="shared" si="51"/>
        <v>2442406.4633333334</v>
      </c>
      <c r="J168" s="291">
        <f t="shared" si="51"/>
        <v>1408770.0766666667</v>
      </c>
      <c r="K168" s="291">
        <f t="shared" si="51"/>
        <v>947507.8999999999</v>
      </c>
      <c r="L168" s="291">
        <f>+L93+L137+L167</f>
        <v>946700</v>
      </c>
      <c r="M168" s="291">
        <f>+M93+M137+M167</f>
        <v>342300</v>
      </c>
    </row>
    <row r="169" spans="1:13" ht="10.5">
      <c r="A169" s="146"/>
      <c r="B169" s="146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</row>
    <row r="170" spans="1:13" ht="10.5">
      <c r="A170" s="146"/>
      <c r="B170" s="146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</row>
    <row r="171" spans="1:13" ht="10.5">
      <c r="A171" s="423" t="s">
        <v>295</v>
      </c>
      <c r="B171" s="154"/>
      <c r="C171" s="139">
        <f>+C7</f>
        <v>2021</v>
      </c>
      <c r="D171" s="139">
        <f aca="true" t="shared" si="52" ref="D171:M171">+C171+1</f>
        <v>2022</v>
      </c>
      <c r="E171" s="139">
        <f t="shared" si="52"/>
        <v>2023</v>
      </c>
      <c r="F171" s="139">
        <f t="shared" si="52"/>
        <v>2024</v>
      </c>
      <c r="G171" s="139">
        <f t="shared" si="52"/>
        <v>2025</v>
      </c>
      <c r="H171" s="139">
        <f t="shared" si="52"/>
        <v>2026</v>
      </c>
      <c r="I171" s="139">
        <f t="shared" si="52"/>
        <v>2027</v>
      </c>
      <c r="J171" s="139">
        <f t="shared" si="52"/>
        <v>2028</v>
      </c>
      <c r="K171" s="139">
        <f t="shared" si="52"/>
        <v>2029</v>
      </c>
      <c r="L171" s="139">
        <f t="shared" si="52"/>
        <v>2030</v>
      </c>
      <c r="M171" s="139">
        <f t="shared" si="52"/>
        <v>2031</v>
      </c>
    </row>
    <row r="172" spans="1:13" ht="10.5">
      <c r="A172" s="293" t="s">
        <v>281</v>
      </c>
      <c r="B172" s="141"/>
      <c r="C172" s="295">
        <f>+C93</f>
        <v>0</v>
      </c>
      <c r="D172" s="295">
        <f>+SUM($C93:D93)</f>
        <v>0</v>
      </c>
      <c r="E172" s="295">
        <f>+SUM($C93:E93)</f>
        <v>0</v>
      </c>
      <c r="F172" s="295">
        <f>+SUM($C93:F93)</f>
        <v>0</v>
      </c>
      <c r="G172" s="295">
        <f>+SUM($C93:G93)</f>
        <v>0</v>
      </c>
      <c r="H172" s="295">
        <f>+SUM($C93:H93)</f>
        <v>4800</v>
      </c>
      <c r="I172" s="295">
        <f>+SUM($C93:I93)</f>
        <v>9600</v>
      </c>
      <c r="J172" s="295">
        <f>+SUM($C93:J93)</f>
        <v>14400</v>
      </c>
      <c r="K172" s="295">
        <f>+SUM($C93:K93)</f>
        <v>19200</v>
      </c>
      <c r="L172" s="295">
        <f>+SUM($C93:L93)</f>
        <v>24000</v>
      </c>
      <c r="M172" s="295">
        <f>+SUM($C93:M93)</f>
        <v>28800</v>
      </c>
    </row>
    <row r="173" spans="1:13" ht="10.5">
      <c r="A173" s="293" t="s">
        <v>286</v>
      </c>
      <c r="B173" s="141"/>
      <c r="C173" s="295">
        <f>+C137</f>
        <v>0</v>
      </c>
      <c r="D173" s="295">
        <f>+SUM(C137:D137)</f>
        <v>0</v>
      </c>
      <c r="E173" s="295">
        <f>+D173+E137</f>
        <v>0</v>
      </c>
      <c r="F173" s="295">
        <f aca="true" t="shared" si="53" ref="F173:M173">+E173+F137</f>
        <v>0</v>
      </c>
      <c r="G173" s="295">
        <f t="shared" si="53"/>
        <v>41250</v>
      </c>
      <c r="H173" s="295">
        <f t="shared" si="53"/>
        <v>1026000</v>
      </c>
      <c r="I173" s="295">
        <f t="shared" si="53"/>
        <v>2009950</v>
      </c>
      <c r="J173" s="295">
        <f t="shared" si="53"/>
        <v>2993900</v>
      </c>
      <c r="K173" s="295">
        <f t="shared" si="53"/>
        <v>3936600</v>
      </c>
      <c r="L173" s="295">
        <f t="shared" si="53"/>
        <v>4878500</v>
      </c>
      <c r="M173" s="295">
        <f t="shared" si="53"/>
        <v>5216000</v>
      </c>
    </row>
    <row r="174" spans="1:13" ht="10.5">
      <c r="A174" s="293" t="s">
        <v>289</v>
      </c>
      <c r="B174" s="141"/>
      <c r="C174" s="295">
        <f>+C167</f>
        <v>0</v>
      </c>
      <c r="D174" s="295">
        <f>+SUM(C167:D167)</f>
        <v>0</v>
      </c>
      <c r="E174" s="295">
        <f>+D174+E167</f>
        <v>0</v>
      </c>
      <c r="F174" s="295">
        <f aca="true" t="shared" si="54" ref="F174:M174">+E174+F167</f>
        <v>0</v>
      </c>
      <c r="G174" s="295">
        <f t="shared" si="54"/>
        <v>1033659.0966666667</v>
      </c>
      <c r="H174" s="295">
        <f t="shared" si="54"/>
        <v>2487315.56</v>
      </c>
      <c r="I174" s="295">
        <f t="shared" si="54"/>
        <v>3940972.0233333334</v>
      </c>
      <c r="J174" s="295">
        <f t="shared" si="54"/>
        <v>4360992.1</v>
      </c>
      <c r="K174" s="295">
        <f t="shared" si="54"/>
        <v>4361000</v>
      </c>
      <c r="L174" s="295">
        <f t="shared" si="54"/>
        <v>4361000</v>
      </c>
      <c r="M174" s="295">
        <f t="shared" si="54"/>
        <v>4361000</v>
      </c>
    </row>
    <row r="175" spans="1:13" ht="10.5">
      <c r="A175" s="594" t="s">
        <v>30</v>
      </c>
      <c r="B175" s="595"/>
      <c r="C175" s="144">
        <f>+C172+C173+C174</f>
        <v>0</v>
      </c>
      <c r="D175" s="144">
        <f>+D172+D173+D174</f>
        <v>0</v>
      </c>
      <c r="E175" s="144">
        <f>+E172+E173+E174</f>
        <v>0</v>
      </c>
      <c r="F175" s="144">
        <f aca="true" t="shared" si="55" ref="F175:K175">+F172+F173+F174</f>
        <v>0</v>
      </c>
      <c r="G175" s="144">
        <f t="shared" si="55"/>
        <v>1074909.0966666667</v>
      </c>
      <c r="H175" s="144">
        <f t="shared" si="55"/>
        <v>3518115.56</v>
      </c>
      <c r="I175" s="144">
        <f t="shared" si="55"/>
        <v>5960522.023333333</v>
      </c>
      <c r="J175" s="144">
        <f t="shared" si="55"/>
        <v>7369292.1</v>
      </c>
      <c r="K175" s="144">
        <f t="shared" si="55"/>
        <v>8316800</v>
      </c>
      <c r="L175" s="144">
        <f>+L172+L173+L174</f>
        <v>9263500</v>
      </c>
      <c r="M175" s="144">
        <f>+M172+M173+M174</f>
        <v>9605800</v>
      </c>
    </row>
    <row r="176" spans="1:13" ht="10.5">
      <c r="A176" s="146"/>
      <c r="B176" s="146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</row>
    <row r="177" spans="1:13" ht="10.5">
      <c r="A177" s="146"/>
      <c r="B177" s="146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</row>
    <row r="178" spans="1:13" ht="10.5">
      <c r="A178" s="423" t="s">
        <v>204</v>
      </c>
      <c r="B178" s="154"/>
      <c r="C178" s="139">
        <f>+C7</f>
        <v>2021</v>
      </c>
      <c r="D178" s="139">
        <f aca="true" t="shared" si="56" ref="D178:M178">+C178+1</f>
        <v>2022</v>
      </c>
      <c r="E178" s="139">
        <f t="shared" si="56"/>
        <v>2023</v>
      </c>
      <c r="F178" s="139">
        <f t="shared" si="56"/>
        <v>2024</v>
      </c>
      <c r="G178" s="139">
        <f t="shared" si="56"/>
        <v>2025</v>
      </c>
      <c r="H178" s="139">
        <f t="shared" si="56"/>
        <v>2026</v>
      </c>
      <c r="I178" s="139">
        <f t="shared" si="56"/>
        <v>2027</v>
      </c>
      <c r="J178" s="139">
        <f t="shared" si="56"/>
        <v>2028</v>
      </c>
      <c r="K178" s="139">
        <f t="shared" si="56"/>
        <v>2029</v>
      </c>
      <c r="L178" s="139">
        <f t="shared" si="56"/>
        <v>2030</v>
      </c>
      <c r="M178" s="139">
        <f t="shared" si="56"/>
        <v>2031</v>
      </c>
    </row>
    <row r="179" spans="1:13" ht="10.5">
      <c r="A179" s="293" t="s">
        <v>281</v>
      </c>
      <c r="B179" s="141"/>
      <c r="C179" s="295">
        <f aca="true" t="shared" si="57" ref="C179:M179">+C40-C172</f>
        <v>0</v>
      </c>
      <c r="D179" s="295">
        <f t="shared" si="57"/>
        <v>145000</v>
      </c>
      <c r="E179" s="295">
        <f t="shared" si="57"/>
        <v>145000</v>
      </c>
      <c r="F179" s="295">
        <f t="shared" si="57"/>
        <v>145000</v>
      </c>
      <c r="G179" s="295">
        <f t="shared" si="57"/>
        <v>145000</v>
      </c>
      <c r="H179" s="295">
        <f t="shared" si="57"/>
        <v>260200</v>
      </c>
      <c r="I179" s="295">
        <f t="shared" si="57"/>
        <v>375400</v>
      </c>
      <c r="J179" s="295">
        <f t="shared" si="57"/>
        <v>490600</v>
      </c>
      <c r="K179" s="295">
        <f t="shared" si="57"/>
        <v>605800</v>
      </c>
      <c r="L179" s="295">
        <f t="shared" si="57"/>
        <v>721000</v>
      </c>
      <c r="M179" s="295">
        <f t="shared" si="57"/>
        <v>966200</v>
      </c>
    </row>
    <row r="180" spans="1:13" ht="10.5">
      <c r="A180" s="293" t="s">
        <v>286</v>
      </c>
      <c r="B180" s="141"/>
      <c r="C180" s="295">
        <f aca="true" t="shared" si="58" ref="C180:M180">+C49-C173</f>
        <v>965000</v>
      </c>
      <c r="D180" s="295">
        <f t="shared" si="58"/>
        <v>2545000</v>
      </c>
      <c r="E180" s="295">
        <f t="shared" si="58"/>
        <v>2898000</v>
      </c>
      <c r="F180" s="295">
        <f t="shared" si="58"/>
        <v>3063000</v>
      </c>
      <c r="G180" s="295">
        <f t="shared" si="58"/>
        <v>3186750</v>
      </c>
      <c r="H180" s="295">
        <f t="shared" si="58"/>
        <v>9732000</v>
      </c>
      <c r="I180" s="295">
        <f t="shared" si="58"/>
        <v>8990050</v>
      </c>
      <c r="J180" s="295">
        <f t="shared" si="58"/>
        <v>8246100</v>
      </c>
      <c r="K180" s="295">
        <f t="shared" si="58"/>
        <v>7543400</v>
      </c>
      <c r="L180" s="295">
        <f t="shared" si="58"/>
        <v>6841500</v>
      </c>
      <c r="M180" s="295">
        <f t="shared" si="58"/>
        <v>16419000</v>
      </c>
    </row>
    <row r="181" spans="1:13" ht="10.5">
      <c r="A181" s="293" t="s">
        <v>289</v>
      </c>
      <c r="B181" s="141"/>
      <c r="C181" s="295">
        <f aca="true" t="shared" si="59" ref="C181:M181">+C56-C174</f>
        <v>1750000</v>
      </c>
      <c r="D181" s="295">
        <f t="shared" si="59"/>
        <v>3470000</v>
      </c>
      <c r="E181" s="295">
        <f t="shared" si="59"/>
        <v>7563280</v>
      </c>
      <c r="F181" s="295">
        <f t="shared" si="59"/>
        <v>9853280</v>
      </c>
      <c r="G181" s="295">
        <f t="shared" si="59"/>
        <v>12170620.903333332</v>
      </c>
      <c r="H181" s="295">
        <f t="shared" si="59"/>
        <v>11976964.44</v>
      </c>
      <c r="I181" s="295">
        <f t="shared" si="59"/>
        <v>14918307.976666667</v>
      </c>
      <c r="J181" s="295">
        <f t="shared" si="59"/>
        <v>17598287.9</v>
      </c>
      <c r="K181" s="295">
        <f t="shared" si="59"/>
        <v>24523180</v>
      </c>
      <c r="L181" s="295">
        <f t="shared" si="59"/>
        <v>29813180</v>
      </c>
      <c r="M181" s="295">
        <f t="shared" si="59"/>
        <v>31973180</v>
      </c>
    </row>
    <row r="182" spans="1:13" ht="10.5">
      <c r="A182" s="594" t="s">
        <v>30</v>
      </c>
      <c r="B182" s="595"/>
      <c r="C182" s="144">
        <f>+C179+C180+C181</f>
        <v>2715000</v>
      </c>
      <c r="D182" s="144">
        <f>+D179+D180+D181</f>
        <v>6160000</v>
      </c>
      <c r="E182" s="144">
        <f>+E179+E180+E181</f>
        <v>10606280</v>
      </c>
      <c r="F182" s="144">
        <f aca="true" t="shared" si="60" ref="F182:K182">+F179+F180+F181</f>
        <v>13061280</v>
      </c>
      <c r="G182" s="144">
        <f t="shared" si="60"/>
        <v>15502370.903333332</v>
      </c>
      <c r="H182" s="144">
        <f t="shared" si="60"/>
        <v>21969164.439999998</v>
      </c>
      <c r="I182" s="144">
        <f t="shared" si="60"/>
        <v>24283757.976666667</v>
      </c>
      <c r="J182" s="144">
        <f t="shared" si="60"/>
        <v>26334987.9</v>
      </c>
      <c r="K182" s="144">
        <f t="shared" si="60"/>
        <v>32672380</v>
      </c>
      <c r="L182" s="144">
        <f>+L179+L180+L181</f>
        <v>37375680</v>
      </c>
      <c r="M182" s="144">
        <f>+M179+M180+M181</f>
        <v>49358380</v>
      </c>
    </row>
  </sheetData>
  <sheetProtection/>
  <mergeCells count="21">
    <mergeCell ref="A182:B182"/>
    <mergeCell ref="A175:B175"/>
    <mergeCell ref="A168:B168"/>
    <mergeCell ref="A57:B57"/>
    <mergeCell ref="A60:C60"/>
    <mergeCell ref="A4:M4"/>
    <mergeCell ref="A28:B28"/>
    <mergeCell ref="A21:B21"/>
    <mergeCell ref="A12:B12"/>
    <mergeCell ref="A7:B7"/>
    <mergeCell ref="A49:B49"/>
    <mergeCell ref="A40:B40"/>
    <mergeCell ref="A35:B35"/>
    <mergeCell ref="A29:B29"/>
    <mergeCell ref="D60:G61"/>
    <mergeCell ref="A167:B167"/>
    <mergeCell ref="A137:B137"/>
    <mergeCell ref="A93:B93"/>
    <mergeCell ref="A31:B31"/>
    <mergeCell ref="A56:B56"/>
    <mergeCell ref="D72:H73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M106"/>
  <sheetViews>
    <sheetView showGridLines="0" showZeros="0" zoomScalePageLayoutView="0" workbookViewId="0" topLeftCell="A16">
      <selection activeCell="E25" sqref="E25"/>
    </sheetView>
  </sheetViews>
  <sheetFormatPr defaultColWidth="9.140625" defaultRowHeight="12.75"/>
  <cols>
    <col min="1" max="1" width="28.140625" style="51" customWidth="1"/>
    <col min="2" max="2" width="8.57421875" style="349" customWidth="1"/>
    <col min="3" max="3" width="8.421875" style="51" bestFit="1" customWidth="1"/>
    <col min="4" max="7" width="8.7109375" style="51" bestFit="1" customWidth="1"/>
    <col min="8" max="13" width="8.421875" style="51" bestFit="1" customWidth="1"/>
    <col min="14" max="16384" width="8.7109375" style="51" customWidth="1"/>
  </cols>
  <sheetData>
    <row r="1" spans="1:13" ht="12.75">
      <c r="A1" s="43"/>
      <c r="B1" s="334"/>
      <c r="C1" s="35"/>
      <c r="D1" s="35"/>
      <c r="E1" s="35"/>
      <c r="F1" s="35"/>
      <c r="G1" s="35"/>
      <c r="H1" s="35"/>
      <c r="I1" s="35"/>
      <c r="J1" s="35"/>
      <c r="K1" s="35"/>
      <c r="L1" s="397" t="s">
        <v>44</v>
      </c>
      <c r="M1" s="398" t="str">
        <f>+Pressupostos!E1</f>
        <v>JUPITER</v>
      </c>
    </row>
    <row r="2" spans="1:13" ht="12.75">
      <c r="A2" s="43"/>
      <c r="B2" s="334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tr">
        <f>+Pressupostos!B9</f>
        <v>Euros</v>
      </c>
    </row>
    <row r="3" spans="1:13" ht="12.75">
      <c r="A3" s="43"/>
      <c r="B3" s="334"/>
      <c r="C3" s="43"/>
      <c r="D3" s="43"/>
      <c r="E3" s="43"/>
      <c r="F3" s="43"/>
      <c r="G3" s="43"/>
      <c r="H3" s="43"/>
      <c r="I3" s="43"/>
      <c r="J3" s="43"/>
      <c r="K3" s="43"/>
      <c r="L3" s="43"/>
      <c r="M3" s="38"/>
    </row>
    <row r="4" spans="1:13" ht="15.75">
      <c r="A4" s="562" t="s">
        <v>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0.5">
      <c r="A5" s="43"/>
      <c r="B5" s="33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0.5">
      <c r="A6" s="43"/>
      <c r="B6" s="33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0.5">
      <c r="A7" s="41"/>
      <c r="B7" s="60"/>
      <c r="C7" s="40">
        <f>+VN!C8</f>
        <v>2021</v>
      </c>
      <c r="D7" s="40">
        <f>+VN!D8</f>
        <v>2022</v>
      </c>
      <c r="E7" s="40">
        <f>+VN!E8</f>
        <v>2023</v>
      </c>
      <c r="F7" s="40">
        <f>+VN!F8</f>
        <v>2024</v>
      </c>
      <c r="G7" s="40">
        <f>+VN!G8</f>
        <v>2025</v>
      </c>
      <c r="H7" s="40">
        <f>+VN!H8</f>
        <v>2026</v>
      </c>
      <c r="I7" s="40">
        <f>+VN!I8</f>
        <v>2027</v>
      </c>
      <c r="J7" s="40">
        <f>+VN!J8</f>
        <v>2028</v>
      </c>
      <c r="K7" s="40">
        <f>+VN!K8</f>
        <v>2029</v>
      </c>
      <c r="L7" s="40">
        <f>+VN!L8</f>
        <v>2030</v>
      </c>
      <c r="M7" s="40">
        <f>+VN!M8</f>
        <v>2031</v>
      </c>
    </row>
    <row r="8" spans="1:13" ht="10.5">
      <c r="A8" s="117" t="s">
        <v>210</v>
      </c>
      <c r="B8" s="351"/>
      <c r="C8" s="84">
        <f>Investimento!C29+FundoManeio!C24</f>
        <v>3956522.0304999994</v>
      </c>
      <c r="D8" s="84">
        <f>Investimento!D29+FundoManeio!D24</f>
        <v>4706608.981523334</v>
      </c>
      <c r="E8" s="84">
        <f>Investimento!E29+FundoManeio!E24</f>
        <v>6399934.0778357</v>
      </c>
      <c r="F8" s="84">
        <f>Investimento!F29+FundoManeio!F24</f>
        <v>3245830.9501854833</v>
      </c>
      <c r="G8" s="84">
        <f>Investimento!G29+FundoManeio!G24</f>
        <v>3790057.911419251</v>
      </c>
      <c r="H8" s="84">
        <f>Investimento!H29+FundoManeio!H24</f>
        <v>9374662.780304866</v>
      </c>
      <c r="I8" s="84">
        <f>Investimento!I29+FundoManeio!I24</f>
        <v>4914536.061649232</v>
      </c>
      <c r="J8" s="84">
        <f>Investimento!J29+FundoManeio!J24</f>
        <v>3954064.6521069193</v>
      </c>
      <c r="K8" s="84">
        <f>Investimento!K29+FundoManeio!K24</f>
        <v>7892656.864164166</v>
      </c>
      <c r="L8" s="84">
        <f>Investimento!L29+FundoManeio!L24</f>
        <v>6263051.971818949</v>
      </c>
      <c r="M8" s="84">
        <f>Investimento!M29+FundoManeio!M24</f>
        <v>13551127.820649268</v>
      </c>
    </row>
    <row r="9" spans="1:13" ht="10.5">
      <c r="A9" s="108" t="s">
        <v>296</v>
      </c>
      <c r="B9" s="351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3" ht="10.5" thickBot="1">
      <c r="A10" s="155" t="s">
        <v>297</v>
      </c>
      <c r="B10" s="352"/>
      <c r="C10" s="124">
        <f aca="true" t="shared" si="0" ref="C10:M10">+ROUND(C8*(1+C9),-2)</f>
        <v>3956500</v>
      </c>
      <c r="D10" s="124">
        <f t="shared" si="0"/>
        <v>4706600</v>
      </c>
      <c r="E10" s="124">
        <f t="shared" si="0"/>
        <v>6399900</v>
      </c>
      <c r="F10" s="124">
        <f t="shared" si="0"/>
        <v>3245800</v>
      </c>
      <c r="G10" s="124">
        <f t="shared" si="0"/>
        <v>3790100</v>
      </c>
      <c r="H10" s="124">
        <f t="shared" si="0"/>
        <v>9374700</v>
      </c>
      <c r="I10" s="124">
        <f t="shared" si="0"/>
        <v>4914500</v>
      </c>
      <c r="J10" s="124">
        <f t="shared" si="0"/>
        <v>3954100</v>
      </c>
      <c r="K10" s="124">
        <f t="shared" si="0"/>
        <v>7892700</v>
      </c>
      <c r="L10" s="124">
        <f t="shared" si="0"/>
        <v>6263100</v>
      </c>
      <c r="M10" s="124">
        <f t="shared" si="0"/>
        <v>13551100</v>
      </c>
    </row>
    <row r="11" spans="1:13" ht="10.5" thickTop="1">
      <c r="A11" s="43"/>
      <c r="B11" s="334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0.5">
      <c r="A12" s="43"/>
      <c r="B12" s="33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10.5">
      <c r="A13" s="117" t="s">
        <v>112</v>
      </c>
      <c r="B13" s="351"/>
      <c r="C13" s="40">
        <f>+C7</f>
        <v>2021</v>
      </c>
      <c r="D13" s="40">
        <f>+D7</f>
        <v>2022</v>
      </c>
      <c r="E13" s="40">
        <f>+E7</f>
        <v>2023</v>
      </c>
      <c r="F13" s="40">
        <f aca="true" t="shared" si="1" ref="F13:M13">+F7</f>
        <v>2024</v>
      </c>
      <c r="G13" s="40">
        <f t="shared" si="1"/>
        <v>2025</v>
      </c>
      <c r="H13" s="40">
        <f t="shared" si="1"/>
        <v>2026</v>
      </c>
      <c r="I13" s="40">
        <f t="shared" si="1"/>
        <v>2027</v>
      </c>
      <c r="J13" s="40">
        <f t="shared" si="1"/>
        <v>2028</v>
      </c>
      <c r="K13" s="40">
        <f t="shared" si="1"/>
        <v>2029</v>
      </c>
      <c r="L13" s="40">
        <f t="shared" si="1"/>
        <v>2030</v>
      </c>
      <c r="M13" s="40">
        <f t="shared" si="1"/>
        <v>2031</v>
      </c>
    </row>
    <row r="14" spans="1:13" ht="10.5">
      <c r="A14" s="44" t="s">
        <v>83</v>
      </c>
      <c r="B14" s="351"/>
      <c r="C14" s="123">
        <f>IF(+'Cash Flow'!C12&gt;0,'Cash Flow'!C12,0)</f>
        <v>10249133.42585</v>
      </c>
      <c r="D14" s="123">
        <f>IF(+'Cash Flow'!D12&gt;0,'Cash Flow'!D12,0)</f>
        <v>21233183.588990003</v>
      </c>
      <c r="E14" s="123">
        <f>IF(+'Cash Flow'!E12&gt;0,'Cash Flow'!E12,0)</f>
        <v>37707312.2367122</v>
      </c>
      <c r="F14" s="123">
        <f>IF(+'Cash Flow'!F12&gt;0,'Cash Flow'!F12,0)</f>
        <v>44656807.17553931</v>
      </c>
      <c r="G14" s="123">
        <f>IF(+'Cash Flow'!G12&gt;0,'Cash Flow'!G12,0)</f>
        <v>47254414.81722581</v>
      </c>
      <c r="H14" s="123">
        <f>IF(+'Cash Flow'!H12&gt;0,'Cash Flow'!H12,0)</f>
        <v>50414931.917489395</v>
      </c>
      <c r="I14" s="123">
        <f>IF(+'Cash Flow'!I12&gt;0,'Cash Flow'!I12,0)</f>
        <v>53967030.57008758</v>
      </c>
      <c r="J14" s="123">
        <f>IF(+'Cash Flow'!J12&gt;0,'Cash Flow'!J12,0)</f>
        <v>58097667.1959321</v>
      </c>
      <c r="K14" s="123">
        <f>IF(+'Cash Flow'!K12&gt;0,'Cash Flow'!K12,0)</f>
        <v>63281593.62458709</v>
      </c>
      <c r="L14" s="123">
        <f>IF(+'Cash Flow'!L12&gt;0,'Cash Flow'!L12,0)</f>
        <v>69716454.0785202</v>
      </c>
      <c r="M14" s="123">
        <f>IF(+'Cash Flow'!M12&gt;0,'Cash Flow'!M12,0)</f>
        <v>77284796.14151901</v>
      </c>
    </row>
    <row r="15" spans="1:13" ht="10.5">
      <c r="A15" s="44" t="s">
        <v>195</v>
      </c>
      <c r="B15" s="351"/>
      <c r="C15" s="355">
        <v>120000</v>
      </c>
      <c r="D15" s="355">
        <v>5880000</v>
      </c>
      <c r="E15" s="355">
        <v>1000000</v>
      </c>
      <c r="F15" s="355">
        <v>1000000</v>
      </c>
      <c r="G15" s="355">
        <v>1000000</v>
      </c>
      <c r="H15" s="355">
        <v>1000000</v>
      </c>
      <c r="I15" s="355">
        <v>1000000</v>
      </c>
      <c r="J15" s="355">
        <v>1000000</v>
      </c>
      <c r="K15" s="355">
        <v>1000000</v>
      </c>
      <c r="L15" s="355">
        <v>1000000</v>
      </c>
      <c r="M15" s="355">
        <v>1000000</v>
      </c>
    </row>
    <row r="16" spans="1:13" ht="10.5">
      <c r="A16" s="44" t="s">
        <v>298</v>
      </c>
      <c r="B16" s="351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1:13" ht="10.5">
      <c r="A17" s="44" t="s">
        <v>299</v>
      </c>
      <c r="B17" s="351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</row>
    <row r="18" spans="1:13" ht="10.5">
      <c r="A18" s="44" t="s">
        <v>300</v>
      </c>
      <c r="B18" s="60"/>
      <c r="C18" s="467">
        <v>4000000</v>
      </c>
      <c r="D18" s="467"/>
      <c r="E18" s="467"/>
      <c r="F18" s="467"/>
      <c r="G18" s="467"/>
      <c r="H18" s="467">
        <v>10000000</v>
      </c>
      <c r="I18" s="467"/>
      <c r="J18" s="467"/>
      <c r="K18" s="467"/>
      <c r="L18" s="467"/>
      <c r="M18" s="467">
        <v>14000000</v>
      </c>
    </row>
    <row r="19" spans="1:13" ht="10.5">
      <c r="A19" s="297" t="s">
        <v>301</v>
      </c>
      <c r="B19" s="258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ht="14.25" customHeight="1" thickBot="1">
      <c r="A20" s="571" t="s">
        <v>69</v>
      </c>
      <c r="B20" s="573"/>
      <c r="C20" s="124">
        <f>SUM(C14:C19)</f>
        <v>14369133.42585</v>
      </c>
      <c r="D20" s="124">
        <f>SUM(D14:D19)</f>
        <v>27113183.588990003</v>
      </c>
      <c r="E20" s="124">
        <f>SUM(E14:E19)</f>
        <v>38707312.2367122</v>
      </c>
      <c r="F20" s="124">
        <f aca="true" t="shared" si="2" ref="F20:M20">SUM(F14:F19)</f>
        <v>45656807.17553931</v>
      </c>
      <c r="G20" s="124">
        <f t="shared" si="2"/>
        <v>48254414.81722581</v>
      </c>
      <c r="H20" s="124">
        <f t="shared" si="2"/>
        <v>61414931.917489395</v>
      </c>
      <c r="I20" s="124">
        <f t="shared" si="2"/>
        <v>54967030.57008758</v>
      </c>
      <c r="J20" s="124">
        <f t="shared" si="2"/>
        <v>59097667.1959321</v>
      </c>
      <c r="K20" s="124">
        <f t="shared" si="2"/>
        <v>64281593.62458709</v>
      </c>
      <c r="L20" s="124">
        <f t="shared" si="2"/>
        <v>70716454.0785202</v>
      </c>
      <c r="M20" s="124">
        <f t="shared" si="2"/>
        <v>92284796.14151901</v>
      </c>
    </row>
    <row r="21" spans="1:13" ht="10.5" thickTop="1">
      <c r="A21" s="43"/>
      <c r="B21" s="334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0.5">
      <c r="A22" s="43" t="s">
        <v>302</v>
      </c>
      <c r="B22" s="468">
        <v>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ht="10.5">
      <c r="A23" s="43" t="s">
        <v>303</v>
      </c>
      <c r="B23" s="469">
        <v>0.12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ht="10.5">
      <c r="A24" s="43" t="s">
        <v>304</v>
      </c>
      <c r="B24" s="468">
        <v>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0.5">
      <c r="A25" s="43"/>
      <c r="B25" s="33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0.5">
      <c r="A26" s="174">
        <f>+C13</f>
        <v>2021</v>
      </c>
      <c r="B26" s="33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0.5">
      <c r="A27" s="44" t="s">
        <v>305</v>
      </c>
      <c r="B27" s="60"/>
      <c r="C27" s="160">
        <f>+C18</f>
        <v>4000000</v>
      </c>
      <c r="D27" s="123">
        <f aca="true" t="shared" si="3" ref="D27:M27">+C33</f>
        <v>4000000</v>
      </c>
      <c r="E27" s="123">
        <f t="shared" si="3"/>
        <v>4000000</v>
      </c>
      <c r="F27" s="123">
        <f t="shared" si="3"/>
        <v>4000000</v>
      </c>
      <c r="G27" s="123">
        <f t="shared" si="3"/>
        <v>2666666.666666667</v>
      </c>
      <c r="H27" s="123">
        <f t="shared" si="3"/>
        <v>1333333.3333333337</v>
      </c>
      <c r="I27" s="123">
        <f t="shared" si="3"/>
        <v>0</v>
      </c>
      <c r="J27" s="123">
        <f t="shared" si="3"/>
        <v>0</v>
      </c>
      <c r="K27" s="123">
        <f t="shared" si="3"/>
        <v>0</v>
      </c>
      <c r="L27" s="123">
        <f t="shared" si="3"/>
        <v>0</v>
      </c>
      <c r="M27" s="123">
        <f t="shared" si="3"/>
        <v>0</v>
      </c>
    </row>
    <row r="28" spans="1:13" ht="10.5">
      <c r="A28" s="44" t="s">
        <v>5</v>
      </c>
      <c r="B28" s="60"/>
      <c r="C28" s="162">
        <f aca="true" t="shared" si="4" ref="C28:M28">$B$23</f>
        <v>0.12</v>
      </c>
      <c r="D28" s="162">
        <f t="shared" si="4"/>
        <v>0.12</v>
      </c>
      <c r="E28" s="162">
        <f t="shared" si="4"/>
        <v>0.12</v>
      </c>
      <c r="F28" s="162">
        <f t="shared" si="4"/>
        <v>0.12</v>
      </c>
      <c r="G28" s="162">
        <f t="shared" si="4"/>
        <v>0.12</v>
      </c>
      <c r="H28" s="162">
        <f t="shared" si="4"/>
        <v>0.12</v>
      </c>
      <c r="I28" s="162">
        <f t="shared" si="4"/>
        <v>0.12</v>
      </c>
      <c r="J28" s="162">
        <f t="shared" si="4"/>
        <v>0.12</v>
      </c>
      <c r="K28" s="162">
        <f t="shared" si="4"/>
        <v>0.12</v>
      </c>
      <c r="L28" s="162">
        <f t="shared" si="4"/>
        <v>0.12</v>
      </c>
      <c r="M28" s="162">
        <f t="shared" si="4"/>
        <v>0.12</v>
      </c>
    </row>
    <row r="29" spans="1:13" ht="10.5">
      <c r="A29" s="44" t="s">
        <v>6</v>
      </c>
      <c r="B29" s="60"/>
      <c r="C29" s="123">
        <f>+C27*C28*FSE!F8/12</f>
        <v>240000</v>
      </c>
      <c r="D29" s="123">
        <f aca="true" t="shared" si="5" ref="D29:M29">+D27*D28</f>
        <v>480000</v>
      </c>
      <c r="E29" s="123">
        <f t="shared" si="5"/>
        <v>480000</v>
      </c>
      <c r="F29" s="123">
        <f t="shared" si="5"/>
        <v>480000</v>
      </c>
      <c r="G29" s="123">
        <f t="shared" si="5"/>
        <v>320000</v>
      </c>
      <c r="H29" s="123">
        <f t="shared" si="5"/>
        <v>160000.00000000003</v>
      </c>
      <c r="I29" s="123">
        <f t="shared" si="5"/>
        <v>0</v>
      </c>
      <c r="J29" s="123">
        <f t="shared" si="5"/>
        <v>0</v>
      </c>
      <c r="K29" s="123">
        <f t="shared" si="5"/>
        <v>0</v>
      </c>
      <c r="L29" s="123">
        <f t="shared" si="5"/>
        <v>0</v>
      </c>
      <c r="M29" s="123">
        <f t="shared" si="5"/>
        <v>0</v>
      </c>
    </row>
    <row r="30" spans="1:13" ht="10.5">
      <c r="A30" s="44" t="s">
        <v>7</v>
      </c>
      <c r="B30" s="60"/>
      <c r="C30" s="123">
        <f>IF($B24&gt;=0,0,C27/B22)</f>
        <v>0</v>
      </c>
      <c r="D30" s="123">
        <f>IF($B24&gt;=1,0,IF(C27=0,0,+$C$27/$B$22))</f>
        <v>0</v>
      </c>
      <c r="E30" s="123">
        <f>IF(B$24&gt;=2,0,IF(D33&lt;=0,0,+$C$27/$B$22))</f>
        <v>0</v>
      </c>
      <c r="F30" s="123">
        <f>IF($B24&gt;=3,0,IF(E33&lt;=0,0,+$C$27/$B$22))</f>
        <v>1333333.3333333333</v>
      </c>
      <c r="G30" s="123">
        <f>IF($B24&gt;=4,0,IF(F33&lt;=0,0,+$C$27/$B$22))</f>
        <v>1333333.3333333333</v>
      </c>
      <c r="H30" s="123">
        <f>IF($B24&gt;=5,0,IF(G33&lt;=0,0,+$C$27/$B$22))</f>
        <v>1333333.3333333333</v>
      </c>
      <c r="I30" s="123">
        <f>IF($B24&gt;=6,0,IF(H33&lt;=0,0,+$C$27/$B$22))</f>
        <v>0</v>
      </c>
      <c r="J30" s="123">
        <f>IF($B24&gt;=7,0,IF(I33&lt;=0,0,+$C$27/$B$22))</f>
        <v>0</v>
      </c>
      <c r="K30" s="123">
        <f>IF($B24&gt;=8,0,IF(J33&lt;=0,0,+$C$27/$B$22))</f>
        <v>0</v>
      </c>
      <c r="L30" s="123">
        <f>IF($B24&gt;=9,0,IF(K33&lt;=0,0,+$C$27/$B$22))</f>
        <v>0</v>
      </c>
      <c r="M30" s="123">
        <f>IF($B24&gt;=10,0,IF(L33&lt;=0,0,+$C$27/$B$22))</f>
        <v>0</v>
      </c>
    </row>
    <row r="31" spans="1:13" ht="10.5">
      <c r="A31" s="44" t="s">
        <v>117</v>
      </c>
      <c r="B31" s="60"/>
      <c r="C31" s="123">
        <f>+C29*0.004</f>
        <v>960</v>
      </c>
      <c r="D31" s="123">
        <f>+D29*0.004</f>
        <v>1920</v>
      </c>
      <c r="E31" s="123">
        <f>+E29*0.004</f>
        <v>1920</v>
      </c>
      <c r="F31" s="123">
        <f aca="true" t="shared" si="6" ref="F31:M31">+F29*0.004</f>
        <v>1920</v>
      </c>
      <c r="G31" s="123">
        <f t="shared" si="6"/>
        <v>1280</v>
      </c>
      <c r="H31" s="123">
        <f t="shared" si="6"/>
        <v>640.0000000000001</v>
      </c>
      <c r="I31" s="123">
        <f t="shared" si="6"/>
        <v>0</v>
      </c>
      <c r="J31" s="123">
        <f t="shared" si="6"/>
        <v>0</v>
      </c>
      <c r="K31" s="123">
        <f t="shared" si="6"/>
        <v>0</v>
      </c>
      <c r="L31" s="123">
        <f t="shared" si="6"/>
        <v>0</v>
      </c>
      <c r="M31" s="123">
        <f t="shared" si="6"/>
        <v>0</v>
      </c>
    </row>
    <row r="32" spans="1:13" ht="10.5">
      <c r="A32" s="44" t="s">
        <v>306</v>
      </c>
      <c r="B32" s="60"/>
      <c r="C32" s="123">
        <f>+C29+C30+C31</f>
        <v>240960</v>
      </c>
      <c r="D32" s="123">
        <f>+D29+D30+D31</f>
        <v>481920</v>
      </c>
      <c r="E32" s="123">
        <f>+E29+E30+E31</f>
        <v>481920</v>
      </c>
      <c r="F32" s="123">
        <f aca="true" t="shared" si="7" ref="F32:M32">+F29+F30+F31</f>
        <v>1815253.3333333333</v>
      </c>
      <c r="G32" s="123">
        <f t="shared" si="7"/>
        <v>1654613.3333333333</v>
      </c>
      <c r="H32" s="123">
        <f t="shared" si="7"/>
        <v>1493973.3333333333</v>
      </c>
      <c r="I32" s="123">
        <f t="shared" si="7"/>
        <v>0</v>
      </c>
      <c r="J32" s="123">
        <f t="shared" si="7"/>
        <v>0</v>
      </c>
      <c r="K32" s="123">
        <f t="shared" si="7"/>
        <v>0</v>
      </c>
      <c r="L32" s="123">
        <f t="shared" si="7"/>
        <v>0</v>
      </c>
      <c r="M32" s="123">
        <f t="shared" si="7"/>
        <v>0</v>
      </c>
    </row>
    <row r="33" spans="1:13" ht="10.5">
      <c r="A33" s="44" t="s">
        <v>307</v>
      </c>
      <c r="B33" s="60"/>
      <c r="C33" s="164">
        <f>+C27-C30</f>
        <v>4000000</v>
      </c>
      <c r="D33" s="123">
        <f>+D27-D30</f>
        <v>4000000</v>
      </c>
      <c r="E33" s="123">
        <f>+E27-E30</f>
        <v>4000000</v>
      </c>
      <c r="F33" s="123">
        <f aca="true" t="shared" si="8" ref="F33:M33">+F27-F30</f>
        <v>2666666.666666667</v>
      </c>
      <c r="G33" s="123">
        <f t="shared" si="8"/>
        <v>1333333.3333333337</v>
      </c>
      <c r="H33" s="123">
        <f t="shared" si="8"/>
        <v>0</v>
      </c>
      <c r="I33" s="123">
        <f t="shared" si="8"/>
        <v>0</v>
      </c>
      <c r="J33" s="123">
        <f t="shared" si="8"/>
        <v>0</v>
      </c>
      <c r="K33" s="123">
        <f t="shared" si="8"/>
        <v>0</v>
      </c>
      <c r="L33" s="123">
        <f t="shared" si="8"/>
        <v>0</v>
      </c>
      <c r="M33" s="123">
        <f t="shared" si="8"/>
        <v>0</v>
      </c>
    </row>
    <row r="34" spans="1:13" ht="10.5">
      <c r="A34" s="43"/>
      <c r="B34" s="33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0.5">
      <c r="A35" s="43" t="s">
        <v>302</v>
      </c>
      <c r="B35" s="46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0.5">
      <c r="A36" s="43" t="s">
        <v>303</v>
      </c>
      <c r="B36" s="46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0.5">
      <c r="A37" s="43" t="s">
        <v>304</v>
      </c>
      <c r="B37" s="46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>
      <c r="A38" s="43"/>
      <c r="B38" s="33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>
      <c r="A39" s="174">
        <f>+D13</f>
        <v>2022</v>
      </c>
      <c r="B39" s="33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>
      <c r="A40" s="44" t="s">
        <v>305</v>
      </c>
      <c r="B40" s="60"/>
      <c r="C40" s="160"/>
      <c r="D40" s="123">
        <f>+D18</f>
        <v>0</v>
      </c>
      <c r="E40" s="123">
        <f>+D46</f>
        <v>0</v>
      </c>
      <c r="F40" s="123">
        <f aca="true" t="shared" si="9" ref="F40:M40">+E46</f>
        <v>0</v>
      </c>
      <c r="G40" s="123">
        <f t="shared" si="9"/>
        <v>0</v>
      </c>
      <c r="H40" s="123">
        <f t="shared" si="9"/>
        <v>0</v>
      </c>
      <c r="I40" s="123">
        <f t="shared" si="9"/>
        <v>0</v>
      </c>
      <c r="J40" s="123">
        <f t="shared" si="9"/>
        <v>0</v>
      </c>
      <c r="K40" s="123">
        <f t="shared" si="9"/>
        <v>0</v>
      </c>
      <c r="L40" s="123">
        <f t="shared" si="9"/>
        <v>0</v>
      </c>
      <c r="M40" s="123">
        <f t="shared" si="9"/>
        <v>0</v>
      </c>
    </row>
    <row r="41" spans="1:13" ht="10.5">
      <c r="A41" s="44" t="s">
        <v>5</v>
      </c>
      <c r="B41" s="60"/>
      <c r="C41" s="161"/>
      <c r="D41" s="162">
        <f>$B$36</f>
        <v>0</v>
      </c>
      <c r="E41" s="162">
        <f>$B$36</f>
        <v>0</v>
      </c>
      <c r="F41" s="162">
        <f aca="true" t="shared" si="10" ref="F41:M41">$B$36</f>
        <v>0</v>
      </c>
      <c r="G41" s="162">
        <f t="shared" si="10"/>
        <v>0</v>
      </c>
      <c r="H41" s="162">
        <f t="shared" si="10"/>
        <v>0</v>
      </c>
      <c r="I41" s="162">
        <f t="shared" si="10"/>
        <v>0</v>
      </c>
      <c r="J41" s="162">
        <f t="shared" si="10"/>
        <v>0</v>
      </c>
      <c r="K41" s="162">
        <f t="shared" si="10"/>
        <v>0</v>
      </c>
      <c r="L41" s="162">
        <f t="shared" si="10"/>
        <v>0</v>
      </c>
      <c r="M41" s="162">
        <f t="shared" si="10"/>
        <v>0</v>
      </c>
    </row>
    <row r="42" spans="1:13" ht="10.5">
      <c r="A42" s="44" t="s">
        <v>6</v>
      </c>
      <c r="B42" s="60"/>
      <c r="C42" s="163"/>
      <c r="D42" s="123">
        <f>+D40*D41</f>
        <v>0</v>
      </c>
      <c r="E42" s="123">
        <f>+E40*E41</f>
        <v>0</v>
      </c>
      <c r="F42" s="123">
        <f aca="true" t="shared" si="11" ref="F42:M42">+F40*F41</f>
        <v>0</v>
      </c>
      <c r="G42" s="123">
        <f t="shared" si="11"/>
        <v>0</v>
      </c>
      <c r="H42" s="123">
        <f t="shared" si="11"/>
        <v>0</v>
      </c>
      <c r="I42" s="123">
        <f t="shared" si="11"/>
        <v>0</v>
      </c>
      <c r="J42" s="123">
        <f t="shared" si="11"/>
        <v>0</v>
      </c>
      <c r="K42" s="123">
        <f t="shared" si="11"/>
        <v>0</v>
      </c>
      <c r="L42" s="123">
        <f t="shared" si="11"/>
        <v>0</v>
      </c>
      <c r="M42" s="123">
        <f t="shared" si="11"/>
        <v>0</v>
      </c>
    </row>
    <row r="43" spans="1:13" ht="10.5">
      <c r="A43" s="44" t="s">
        <v>7</v>
      </c>
      <c r="B43" s="60"/>
      <c r="C43" s="163"/>
      <c r="D43" s="123">
        <f>IF($B37&gt;=0,0,D40/$B35)</f>
        <v>0</v>
      </c>
      <c r="E43" s="123">
        <f>IF($B37&gt;=1,0,IF(D46&lt;=0,0,+$D$40/$B$35))</f>
        <v>0</v>
      </c>
      <c r="F43" s="123">
        <f>IF($B37&gt;=2,0,IF(E46&lt;=0,0,+$D$40/$B$35))</f>
        <v>0</v>
      </c>
      <c r="G43" s="123">
        <f>IF($B37&gt;=3,0,IF(F46&lt;=0,0,+$D$40/$B$35))</f>
        <v>0</v>
      </c>
      <c r="H43" s="123">
        <f>IF($B37&gt;=4,0,IF(G46&lt;=0,0,+$D$40/$B$35))</f>
        <v>0</v>
      </c>
      <c r="I43" s="123">
        <f>IF($B37&gt;=5,0,IF(H46&lt;=0,0,+$D$40/$B$35))</f>
        <v>0</v>
      </c>
      <c r="J43" s="123">
        <f>IF($B37&gt;=6,0,IF(I46&lt;=0,0,+$D$40/$B$35))</f>
        <v>0</v>
      </c>
      <c r="K43" s="123">
        <f>IF($B37&gt;=7,0,IF(J46&lt;=0,0,+$D$40/$B$35))</f>
        <v>0</v>
      </c>
      <c r="L43" s="123">
        <f>IF($B37&gt;=8,0,IF(K46&lt;=0,0,+$D$40/$B$35))</f>
        <v>0</v>
      </c>
      <c r="M43" s="123">
        <f>IF($B37&gt;=9,0,IF(L46&lt;=0,0,+$D$40/$B$35))</f>
        <v>0</v>
      </c>
    </row>
    <row r="44" spans="1:13" ht="10.5">
      <c r="A44" s="44" t="s">
        <v>117</v>
      </c>
      <c r="B44" s="60"/>
      <c r="C44" s="163"/>
      <c r="D44" s="123">
        <f>0.004*D42</f>
        <v>0</v>
      </c>
      <c r="E44" s="123">
        <f>0.004*E42</f>
        <v>0</v>
      </c>
      <c r="F44" s="123">
        <f aca="true" t="shared" si="12" ref="F44:M44">0.004*F42</f>
        <v>0</v>
      </c>
      <c r="G44" s="123">
        <f t="shared" si="12"/>
        <v>0</v>
      </c>
      <c r="H44" s="123">
        <f t="shared" si="12"/>
        <v>0</v>
      </c>
      <c r="I44" s="123">
        <f t="shared" si="12"/>
        <v>0</v>
      </c>
      <c r="J44" s="123">
        <f t="shared" si="12"/>
        <v>0</v>
      </c>
      <c r="K44" s="123">
        <f t="shared" si="12"/>
        <v>0</v>
      </c>
      <c r="L44" s="123">
        <f t="shared" si="12"/>
        <v>0</v>
      </c>
      <c r="M44" s="123">
        <f t="shared" si="12"/>
        <v>0</v>
      </c>
    </row>
    <row r="45" spans="1:13" ht="10.5">
      <c r="A45" s="44" t="s">
        <v>306</v>
      </c>
      <c r="B45" s="60"/>
      <c r="C45" s="163"/>
      <c r="D45" s="123">
        <f>+D42+D43+D44</f>
        <v>0</v>
      </c>
      <c r="E45" s="123">
        <f>+E42+E43+E44</f>
        <v>0</v>
      </c>
      <c r="F45" s="123">
        <f aca="true" t="shared" si="13" ref="F45:M45">+F42+F43+F44</f>
        <v>0</v>
      </c>
      <c r="G45" s="123">
        <f t="shared" si="13"/>
        <v>0</v>
      </c>
      <c r="H45" s="123">
        <f t="shared" si="13"/>
        <v>0</v>
      </c>
      <c r="I45" s="123">
        <f t="shared" si="13"/>
        <v>0</v>
      </c>
      <c r="J45" s="123">
        <f t="shared" si="13"/>
        <v>0</v>
      </c>
      <c r="K45" s="123">
        <f t="shared" si="13"/>
        <v>0</v>
      </c>
      <c r="L45" s="123">
        <f t="shared" si="13"/>
        <v>0</v>
      </c>
      <c r="M45" s="123">
        <f t="shared" si="13"/>
        <v>0</v>
      </c>
    </row>
    <row r="46" spans="1:13" ht="10.5">
      <c r="A46" s="44" t="s">
        <v>307</v>
      </c>
      <c r="B46" s="60"/>
      <c r="C46" s="165"/>
      <c r="D46" s="123">
        <f>+D40-D43</f>
        <v>0</v>
      </c>
      <c r="E46" s="123">
        <f>+E40-E43</f>
        <v>0</v>
      </c>
      <c r="F46" s="123">
        <f aca="true" t="shared" si="14" ref="F46:M46">+F40-F43</f>
        <v>0</v>
      </c>
      <c r="G46" s="123">
        <f t="shared" si="14"/>
        <v>0</v>
      </c>
      <c r="H46" s="123">
        <f t="shared" si="14"/>
        <v>0</v>
      </c>
      <c r="I46" s="123">
        <f t="shared" si="14"/>
        <v>0</v>
      </c>
      <c r="J46" s="123">
        <f t="shared" si="14"/>
        <v>0</v>
      </c>
      <c r="K46" s="123">
        <f t="shared" si="14"/>
        <v>0</v>
      </c>
      <c r="L46" s="123">
        <f t="shared" si="14"/>
        <v>0</v>
      </c>
      <c r="M46" s="123">
        <f t="shared" si="14"/>
        <v>0</v>
      </c>
    </row>
    <row r="47" spans="1:13" ht="10.5">
      <c r="A47" s="43"/>
      <c r="B47" s="33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0.5">
      <c r="A48" s="43" t="s">
        <v>302</v>
      </c>
      <c r="B48" s="46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0.5">
      <c r="A49" s="43" t="s">
        <v>303</v>
      </c>
      <c r="B49" s="469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0.5">
      <c r="A50" s="43" t="s">
        <v>304</v>
      </c>
      <c r="B50" s="468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0.5">
      <c r="A51" s="43"/>
      <c r="B51" s="33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0.5">
      <c r="A52" s="174">
        <f>+E13</f>
        <v>2023</v>
      </c>
      <c r="B52" s="334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0.5">
      <c r="A53" s="44" t="s">
        <v>305</v>
      </c>
      <c r="B53" s="60"/>
      <c r="C53" s="166">
        <f>+C42</f>
        <v>0</v>
      </c>
      <c r="D53" s="172"/>
      <c r="E53" s="123">
        <f>+E18</f>
        <v>0</v>
      </c>
      <c r="F53" s="123">
        <f>+E59</f>
        <v>0</v>
      </c>
      <c r="G53" s="123">
        <f aca="true" t="shared" si="15" ref="G53:M53">+F59</f>
        <v>0</v>
      </c>
      <c r="H53" s="123">
        <f t="shared" si="15"/>
        <v>0</v>
      </c>
      <c r="I53" s="123">
        <f t="shared" si="15"/>
        <v>0</v>
      </c>
      <c r="J53" s="123">
        <f t="shared" si="15"/>
        <v>0</v>
      </c>
      <c r="K53" s="123">
        <f t="shared" si="15"/>
        <v>0</v>
      </c>
      <c r="L53" s="123">
        <f t="shared" si="15"/>
        <v>0</v>
      </c>
      <c r="M53" s="123">
        <f t="shared" si="15"/>
        <v>0</v>
      </c>
    </row>
    <row r="54" spans="1:13" ht="10.5">
      <c r="A54" s="44" t="s">
        <v>5</v>
      </c>
      <c r="B54" s="60"/>
      <c r="C54" s="168"/>
      <c r="D54" s="169"/>
      <c r="E54" s="162">
        <f>$B$49</f>
        <v>0</v>
      </c>
      <c r="F54" s="162">
        <f aca="true" t="shared" si="16" ref="F54:M54">$B$49</f>
        <v>0</v>
      </c>
      <c r="G54" s="162">
        <f t="shared" si="16"/>
        <v>0</v>
      </c>
      <c r="H54" s="162">
        <f t="shared" si="16"/>
        <v>0</v>
      </c>
      <c r="I54" s="162">
        <f t="shared" si="16"/>
        <v>0</v>
      </c>
      <c r="J54" s="162">
        <f t="shared" si="16"/>
        <v>0</v>
      </c>
      <c r="K54" s="162">
        <f t="shared" si="16"/>
        <v>0</v>
      </c>
      <c r="L54" s="162">
        <f t="shared" si="16"/>
        <v>0</v>
      </c>
      <c r="M54" s="162">
        <f t="shared" si="16"/>
        <v>0</v>
      </c>
    </row>
    <row r="55" spans="1:13" ht="10.5">
      <c r="A55" s="44" t="s">
        <v>6</v>
      </c>
      <c r="B55" s="60"/>
      <c r="C55" s="170"/>
      <c r="D55" s="171"/>
      <c r="E55" s="123">
        <f>+E53*E54</f>
        <v>0</v>
      </c>
      <c r="F55" s="164">
        <f>+F53*F54</f>
        <v>0</v>
      </c>
      <c r="G55" s="164">
        <f aca="true" t="shared" si="17" ref="G55:M55">+G53*G54</f>
        <v>0</v>
      </c>
      <c r="H55" s="164">
        <f t="shared" si="17"/>
        <v>0</v>
      </c>
      <c r="I55" s="164">
        <f t="shared" si="17"/>
        <v>0</v>
      </c>
      <c r="J55" s="164">
        <f t="shared" si="17"/>
        <v>0</v>
      </c>
      <c r="K55" s="164">
        <f t="shared" si="17"/>
        <v>0</v>
      </c>
      <c r="L55" s="164">
        <f t="shared" si="17"/>
        <v>0</v>
      </c>
      <c r="M55" s="164">
        <f t="shared" si="17"/>
        <v>0</v>
      </c>
    </row>
    <row r="56" spans="1:13" ht="10.5">
      <c r="A56" s="44" t="s">
        <v>7</v>
      </c>
      <c r="B56" s="60"/>
      <c r="C56" s="170"/>
      <c r="D56" s="171"/>
      <c r="E56" s="123">
        <f>IF(B50&gt;=0,0,E53/$B$48)</f>
        <v>0</v>
      </c>
      <c r="F56" s="123">
        <f>IF($B50&gt;=1,0,IF(E59&lt;=0,0,$E$53/$B$48))</f>
        <v>0</v>
      </c>
      <c r="G56" s="123">
        <f>IF($B50&gt;=2,0,IF(F59&lt;=0,0,$E$53/$B$48))</f>
        <v>0</v>
      </c>
      <c r="H56" s="123">
        <f>IF($B50&gt;=3,0,IF(G59&lt;=0,0,$E$53/$B$48))</f>
        <v>0</v>
      </c>
      <c r="I56" s="123">
        <f>IF($B50&gt;=4,0,IF(H59&lt;=0,0,$E$53/$B$48))</f>
        <v>0</v>
      </c>
      <c r="J56" s="123">
        <f>IF($B50&gt;=5,0,IF(I59&lt;=0,0,$E$53/$B$48))</f>
        <v>0</v>
      </c>
      <c r="K56" s="123">
        <f>IF($B50&gt;=6,0,IF(J59&lt;=0,0,$E$53/$B$48))</f>
        <v>0</v>
      </c>
      <c r="L56" s="123">
        <f>IF($B50&gt;=7,0,IF(K59&lt;=0,0,$E$53/$B$48))</f>
        <v>0</v>
      </c>
      <c r="M56" s="123">
        <f>IF($B50&gt;=81,0,IF(L59&lt;=0,0,$E$53/$B$48))</f>
        <v>0</v>
      </c>
    </row>
    <row r="57" spans="1:13" ht="10.5">
      <c r="A57" s="44" t="s">
        <v>117</v>
      </c>
      <c r="B57" s="60"/>
      <c r="C57" s="170"/>
      <c r="D57" s="171"/>
      <c r="E57" s="123">
        <f>0.004*E55</f>
        <v>0</v>
      </c>
      <c r="F57" s="164">
        <f>0.004*F55</f>
        <v>0</v>
      </c>
      <c r="G57" s="164">
        <f aca="true" t="shared" si="18" ref="G57:M57">0.004*G55</f>
        <v>0</v>
      </c>
      <c r="H57" s="164">
        <f t="shared" si="18"/>
        <v>0</v>
      </c>
      <c r="I57" s="164">
        <f t="shared" si="18"/>
        <v>0</v>
      </c>
      <c r="J57" s="164">
        <f t="shared" si="18"/>
        <v>0</v>
      </c>
      <c r="K57" s="164">
        <f t="shared" si="18"/>
        <v>0</v>
      </c>
      <c r="L57" s="164">
        <f t="shared" si="18"/>
        <v>0</v>
      </c>
      <c r="M57" s="164">
        <f t="shared" si="18"/>
        <v>0</v>
      </c>
    </row>
    <row r="58" spans="1:13" ht="10.5">
      <c r="A58" s="44" t="s">
        <v>306</v>
      </c>
      <c r="B58" s="60"/>
      <c r="C58" s="170"/>
      <c r="D58" s="171"/>
      <c r="E58" s="123">
        <f>+E55+E56+E57</f>
        <v>0</v>
      </c>
      <c r="F58" s="164">
        <f>+F55+F56+F57</f>
        <v>0</v>
      </c>
      <c r="G58" s="164">
        <f aca="true" t="shared" si="19" ref="G58:M58">+G55+G56+G57</f>
        <v>0</v>
      </c>
      <c r="H58" s="164">
        <f t="shared" si="19"/>
        <v>0</v>
      </c>
      <c r="I58" s="164">
        <f t="shared" si="19"/>
        <v>0</v>
      </c>
      <c r="J58" s="164">
        <f t="shared" si="19"/>
        <v>0</v>
      </c>
      <c r="K58" s="164">
        <f t="shared" si="19"/>
        <v>0</v>
      </c>
      <c r="L58" s="164">
        <f t="shared" si="19"/>
        <v>0</v>
      </c>
      <c r="M58" s="164">
        <f t="shared" si="19"/>
        <v>0</v>
      </c>
    </row>
    <row r="59" spans="1:13" ht="10.5">
      <c r="A59" s="44" t="s">
        <v>307</v>
      </c>
      <c r="B59" s="60"/>
      <c r="C59" s="165"/>
      <c r="D59" s="171"/>
      <c r="E59" s="123">
        <f>+E53-E56</f>
        <v>0</v>
      </c>
      <c r="F59" s="164">
        <f>+F53-F56</f>
        <v>0</v>
      </c>
      <c r="G59" s="164">
        <f aca="true" t="shared" si="20" ref="G59:M59">+G53-G56</f>
        <v>0</v>
      </c>
      <c r="H59" s="164">
        <f t="shared" si="20"/>
        <v>0</v>
      </c>
      <c r="I59" s="164">
        <f t="shared" si="20"/>
        <v>0</v>
      </c>
      <c r="J59" s="164">
        <f t="shared" si="20"/>
        <v>0</v>
      </c>
      <c r="K59" s="164">
        <f t="shared" si="20"/>
        <v>0</v>
      </c>
      <c r="L59" s="164">
        <f t="shared" si="20"/>
        <v>0</v>
      </c>
      <c r="M59" s="164">
        <f t="shared" si="20"/>
        <v>0</v>
      </c>
    </row>
    <row r="60" spans="1:13" ht="10.5">
      <c r="A60" s="43"/>
      <c r="B60" s="33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0.5">
      <c r="A61" s="43" t="s">
        <v>302</v>
      </c>
      <c r="B61" s="468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0.5">
      <c r="A62" s="43" t="s">
        <v>303</v>
      </c>
      <c r="B62" s="469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0.5">
      <c r="A63" s="43" t="s">
        <v>304</v>
      </c>
      <c r="B63" s="468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0.5">
      <c r="A64" s="43"/>
      <c r="B64" s="35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0.5">
      <c r="A65" s="174">
        <f>+F13</f>
        <v>2024</v>
      </c>
      <c r="B65" s="33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0.5">
      <c r="A66" s="44" t="s">
        <v>305</v>
      </c>
      <c r="B66" s="60"/>
      <c r="C66" s="166">
        <f>+C55</f>
        <v>0</v>
      </c>
      <c r="D66" s="172"/>
      <c r="E66" s="167"/>
      <c r="F66" s="123">
        <f>+F18</f>
        <v>0</v>
      </c>
      <c r="G66" s="123">
        <f aca="true" t="shared" si="21" ref="G66:M66">+F72</f>
        <v>0</v>
      </c>
      <c r="H66" s="123">
        <f t="shared" si="21"/>
        <v>0</v>
      </c>
      <c r="I66" s="123">
        <f>+H72</f>
        <v>0</v>
      </c>
      <c r="J66" s="123">
        <f>+I72</f>
        <v>0</v>
      </c>
      <c r="K66" s="123">
        <f>+J72</f>
        <v>0</v>
      </c>
      <c r="L66" s="123">
        <f t="shared" si="21"/>
        <v>0</v>
      </c>
      <c r="M66" s="123">
        <f t="shared" si="21"/>
        <v>0</v>
      </c>
    </row>
    <row r="67" spans="1:13" ht="10.5">
      <c r="A67" s="44" t="s">
        <v>5</v>
      </c>
      <c r="B67" s="60"/>
      <c r="C67" s="168"/>
      <c r="D67" s="169"/>
      <c r="E67" s="169"/>
      <c r="F67" s="162">
        <f aca="true" t="shared" si="22" ref="F67:M67">$B$62</f>
        <v>0</v>
      </c>
      <c r="G67" s="162">
        <f t="shared" si="22"/>
        <v>0</v>
      </c>
      <c r="H67" s="162">
        <f t="shared" si="22"/>
        <v>0</v>
      </c>
      <c r="I67" s="162">
        <f t="shared" si="22"/>
        <v>0</v>
      </c>
      <c r="J67" s="162">
        <f t="shared" si="22"/>
        <v>0</v>
      </c>
      <c r="K67" s="162">
        <f t="shared" si="22"/>
        <v>0</v>
      </c>
      <c r="L67" s="162">
        <f t="shared" si="22"/>
        <v>0</v>
      </c>
      <c r="M67" s="162">
        <f t="shared" si="22"/>
        <v>0</v>
      </c>
    </row>
    <row r="68" spans="1:13" ht="10.5">
      <c r="A68" s="44" t="s">
        <v>6</v>
      </c>
      <c r="B68" s="60"/>
      <c r="C68" s="170"/>
      <c r="D68" s="171"/>
      <c r="E68" s="171"/>
      <c r="F68" s="123">
        <f>+F66*F67</f>
        <v>0</v>
      </c>
      <c r="G68" s="123">
        <f aca="true" t="shared" si="23" ref="G68:M68">+G66*G67</f>
        <v>0</v>
      </c>
      <c r="H68" s="164">
        <f t="shared" si="23"/>
        <v>0</v>
      </c>
      <c r="I68" s="164">
        <f t="shared" si="23"/>
        <v>0</v>
      </c>
      <c r="J68" s="164">
        <f t="shared" si="23"/>
        <v>0</v>
      </c>
      <c r="K68" s="164">
        <f t="shared" si="23"/>
        <v>0</v>
      </c>
      <c r="L68" s="164">
        <f t="shared" si="23"/>
        <v>0</v>
      </c>
      <c r="M68" s="164">
        <f t="shared" si="23"/>
        <v>0</v>
      </c>
    </row>
    <row r="69" spans="1:13" ht="10.5">
      <c r="A69" s="44" t="s">
        <v>7</v>
      </c>
      <c r="B69" s="60"/>
      <c r="C69" s="170"/>
      <c r="D69" s="171"/>
      <c r="E69" s="171"/>
      <c r="F69" s="123">
        <f>IF(B63&gt;=0,0,+F66/B61)</f>
        <v>0</v>
      </c>
      <c r="G69" s="164">
        <f>IF($B63&gt;=1,0,IF(F72&lt;=0,0,$F$66/$B$61))</f>
        <v>0</v>
      </c>
      <c r="H69" s="164">
        <f>IF($B63&gt;=2,0,IF(G72&lt;=0,0,$F$66/$B$61))</f>
        <v>0</v>
      </c>
      <c r="I69" s="164">
        <f>IF($B63&gt;=3,0,IF(H72&lt;=0,0,$F$66/$B$61))</f>
        <v>0</v>
      </c>
      <c r="J69" s="164">
        <f>IF($B63&gt;=4,0,IF(I72&lt;=0,0,$F$66/$B$61))</f>
        <v>0</v>
      </c>
      <c r="K69" s="164">
        <f>IF($B63&gt;=5,0,IF(J72&lt;=0,0,$F$66/$B$61))</f>
        <v>0</v>
      </c>
      <c r="L69" s="164">
        <f>IF($B63&gt;=6,0,IF(K72&lt;=0,0,$F$66/$B$61))</f>
        <v>0</v>
      </c>
      <c r="M69" s="164">
        <f>IF($B63&gt;=7,0,IF(L72&lt;=0,0,$F$66/$B$61))</f>
        <v>0</v>
      </c>
    </row>
    <row r="70" spans="1:13" ht="10.5">
      <c r="A70" s="44" t="s">
        <v>117</v>
      </c>
      <c r="B70" s="60"/>
      <c r="C70" s="170"/>
      <c r="D70" s="171"/>
      <c r="E70" s="171"/>
      <c r="F70" s="123">
        <f>+F68*0.004</f>
        <v>0</v>
      </c>
      <c r="G70" s="123">
        <f aca="true" t="shared" si="24" ref="G70:M70">+G68*0.004</f>
        <v>0</v>
      </c>
      <c r="H70" s="164">
        <f t="shared" si="24"/>
        <v>0</v>
      </c>
      <c r="I70" s="164">
        <f t="shared" si="24"/>
        <v>0</v>
      </c>
      <c r="J70" s="164">
        <f t="shared" si="24"/>
        <v>0</v>
      </c>
      <c r="K70" s="164">
        <f t="shared" si="24"/>
        <v>0</v>
      </c>
      <c r="L70" s="164">
        <f t="shared" si="24"/>
        <v>0</v>
      </c>
      <c r="M70" s="164">
        <f t="shared" si="24"/>
        <v>0</v>
      </c>
    </row>
    <row r="71" spans="1:13" ht="10.5">
      <c r="A71" s="44" t="s">
        <v>306</v>
      </c>
      <c r="B71" s="60"/>
      <c r="C71" s="170"/>
      <c r="D71" s="171"/>
      <c r="E71" s="171"/>
      <c r="F71" s="123">
        <f>+F68+F69+F70</f>
        <v>0</v>
      </c>
      <c r="G71" s="123">
        <f aca="true" t="shared" si="25" ref="G71:M71">+G68+G69+G70</f>
        <v>0</v>
      </c>
      <c r="H71" s="164">
        <f t="shared" si="25"/>
        <v>0</v>
      </c>
      <c r="I71" s="164">
        <f t="shared" si="25"/>
        <v>0</v>
      </c>
      <c r="J71" s="164">
        <f t="shared" si="25"/>
        <v>0</v>
      </c>
      <c r="K71" s="164">
        <f t="shared" si="25"/>
        <v>0</v>
      </c>
      <c r="L71" s="164">
        <f t="shared" si="25"/>
        <v>0</v>
      </c>
      <c r="M71" s="164">
        <f t="shared" si="25"/>
        <v>0</v>
      </c>
    </row>
    <row r="72" spans="1:13" ht="10.5">
      <c r="A72" s="44" t="s">
        <v>307</v>
      </c>
      <c r="B72" s="60"/>
      <c r="C72" s="165"/>
      <c r="D72" s="171"/>
      <c r="E72" s="171"/>
      <c r="F72" s="123">
        <f>+F66-F69</f>
        <v>0</v>
      </c>
      <c r="G72" s="123">
        <f aca="true" t="shared" si="26" ref="G72:M72">+G66-G69</f>
        <v>0</v>
      </c>
      <c r="H72" s="123">
        <f t="shared" si="26"/>
        <v>0</v>
      </c>
      <c r="I72" s="123">
        <f t="shared" si="26"/>
        <v>0</v>
      </c>
      <c r="J72" s="123">
        <f t="shared" si="26"/>
        <v>0</v>
      </c>
      <c r="K72" s="123">
        <f t="shared" si="26"/>
        <v>0</v>
      </c>
      <c r="L72" s="164">
        <f t="shared" si="26"/>
        <v>0</v>
      </c>
      <c r="M72" s="164">
        <f t="shared" si="26"/>
        <v>0</v>
      </c>
    </row>
    <row r="73" spans="1:13" ht="10.5">
      <c r="A73" s="43"/>
      <c r="B73" s="334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0.5">
      <c r="A74" s="43" t="s">
        <v>302</v>
      </c>
      <c r="B74" s="468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0.5">
      <c r="A75" s="43" t="s">
        <v>303</v>
      </c>
      <c r="B75" s="469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0.5">
      <c r="A76" s="43" t="s">
        <v>304</v>
      </c>
      <c r="B76" s="468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0.5">
      <c r="A77" s="43"/>
      <c r="B77" s="334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0.5">
      <c r="A78" s="174">
        <f>+G13</f>
        <v>2025</v>
      </c>
      <c r="B78" s="334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0.5">
      <c r="A79" s="44" t="s">
        <v>305</v>
      </c>
      <c r="B79" s="60"/>
      <c r="C79" s="166">
        <f>+C68</f>
        <v>0</v>
      </c>
      <c r="D79" s="172"/>
      <c r="E79" s="171"/>
      <c r="F79" s="171"/>
      <c r="G79" s="123">
        <f>+G18</f>
        <v>0</v>
      </c>
      <c r="H79" s="123">
        <f aca="true" t="shared" si="27" ref="H79:M79">+G85</f>
        <v>0</v>
      </c>
      <c r="I79" s="123">
        <f t="shared" si="27"/>
        <v>0</v>
      </c>
      <c r="J79" s="123">
        <f t="shared" si="27"/>
        <v>0</v>
      </c>
      <c r="K79" s="123">
        <f t="shared" si="27"/>
        <v>0</v>
      </c>
      <c r="L79" s="123">
        <f t="shared" si="27"/>
        <v>0</v>
      </c>
      <c r="M79" s="123">
        <f t="shared" si="27"/>
        <v>0</v>
      </c>
    </row>
    <row r="80" spans="1:13" ht="10.5">
      <c r="A80" s="44" t="s">
        <v>5</v>
      </c>
      <c r="B80" s="60"/>
      <c r="C80" s="168"/>
      <c r="D80" s="169"/>
      <c r="E80" s="169"/>
      <c r="F80" s="169"/>
      <c r="G80" s="162">
        <f aca="true" t="shared" si="28" ref="G80:M80">$B$75</f>
        <v>0</v>
      </c>
      <c r="H80" s="162">
        <f t="shared" si="28"/>
        <v>0</v>
      </c>
      <c r="I80" s="162">
        <f t="shared" si="28"/>
        <v>0</v>
      </c>
      <c r="J80" s="162">
        <f t="shared" si="28"/>
        <v>0</v>
      </c>
      <c r="K80" s="162">
        <f t="shared" si="28"/>
        <v>0</v>
      </c>
      <c r="L80" s="162">
        <f t="shared" si="28"/>
        <v>0</v>
      </c>
      <c r="M80" s="162">
        <f t="shared" si="28"/>
        <v>0</v>
      </c>
    </row>
    <row r="81" spans="1:13" ht="10.5">
      <c r="A81" s="44" t="s">
        <v>6</v>
      </c>
      <c r="B81" s="60"/>
      <c r="C81" s="170"/>
      <c r="D81" s="171"/>
      <c r="E81" s="171"/>
      <c r="F81" s="171"/>
      <c r="G81" s="123">
        <f>+G79*G80</f>
        <v>0</v>
      </c>
      <c r="H81" s="123">
        <f aca="true" t="shared" si="29" ref="H81:M81">+H79*H80</f>
        <v>0</v>
      </c>
      <c r="I81" s="123">
        <f t="shared" si="29"/>
        <v>0</v>
      </c>
      <c r="J81" s="123">
        <f t="shared" si="29"/>
        <v>0</v>
      </c>
      <c r="K81" s="123">
        <f t="shared" si="29"/>
        <v>0</v>
      </c>
      <c r="L81" s="123">
        <f t="shared" si="29"/>
        <v>0</v>
      </c>
      <c r="M81" s="123">
        <f t="shared" si="29"/>
        <v>0</v>
      </c>
    </row>
    <row r="82" spans="1:13" ht="10.5">
      <c r="A82" s="44" t="s">
        <v>7</v>
      </c>
      <c r="B82" s="60"/>
      <c r="C82" s="170"/>
      <c r="D82" s="171"/>
      <c r="E82" s="171"/>
      <c r="F82" s="171"/>
      <c r="G82" s="123">
        <f>IF(B76&gt;=0,0,+G79/B74)</f>
        <v>0</v>
      </c>
      <c r="H82" s="164">
        <f>IF($B76&gt;=1,0,IF(G85&lt;=0,0,$G$79/$B$74))</f>
        <v>0</v>
      </c>
      <c r="I82" s="164">
        <f>IF($B76&gt;=2,0,IF(H85&lt;=0,0,$G$79/$B$74))</f>
        <v>0</v>
      </c>
      <c r="J82" s="164">
        <f>IF($B76&gt;=3,0,IF(I85&lt;=0,0,$G$79/$B$74))</f>
        <v>0</v>
      </c>
      <c r="K82" s="164">
        <f>IF($B76&gt;=4,0,IF(J85&lt;=0,0,$G$79/$B$74))</f>
        <v>0</v>
      </c>
      <c r="L82" s="164">
        <f>IF($B76&gt;=5,0,IF(K85&lt;=0,0,$G$79/$B$74))</f>
        <v>0</v>
      </c>
      <c r="M82" s="164">
        <f>IF($B76&gt;=6,0,IF(L85&lt;=0,0,$G$79/$B$74))</f>
        <v>0</v>
      </c>
    </row>
    <row r="83" spans="1:13" ht="10.5">
      <c r="A83" s="44" t="s">
        <v>117</v>
      </c>
      <c r="B83" s="60"/>
      <c r="C83" s="170"/>
      <c r="D83" s="171"/>
      <c r="E83" s="171"/>
      <c r="F83" s="171"/>
      <c r="G83" s="123">
        <f>+G81*0.004</f>
        <v>0</v>
      </c>
      <c r="H83" s="123">
        <f aca="true" t="shared" si="30" ref="H83:M83">+H81*0.004</f>
        <v>0</v>
      </c>
      <c r="I83" s="164">
        <f t="shared" si="30"/>
        <v>0</v>
      </c>
      <c r="J83" s="123">
        <f t="shared" si="30"/>
        <v>0</v>
      </c>
      <c r="K83" s="164">
        <f t="shared" si="30"/>
        <v>0</v>
      </c>
      <c r="L83" s="123">
        <f t="shared" si="30"/>
        <v>0</v>
      </c>
      <c r="M83" s="164">
        <f t="shared" si="30"/>
        <v>0</v>
      </c>
    </row>
    <row r="84" spans="1:13" ht="10.5">
      <c r="A84" s="44" t="s">
        <v>306</v>
      </c>
      <c r="B84" s="60"/>
      <c r="C84" s="170"/>
      <c r="D84" s="171"/>
      <c r="E84" s="171"/>
      <c r="F84" s="171"/>
      <c r="G84" s="123">
        <f>+G81+G82+G83</f>
        <v>0</v>
      </c>
      <c r="H84" s="123">
        <f aca="true" t="shared" si="31" ref="H84:M84">+H81+H82+H83</f>
        <v>0</v>
      </c>
      <c r="I84" s="164">
        <f t="shared" si="31"/>
        <v>0</v>
      </c>
      <c r="J84" s="123">
        <f t="shared" si="31"/>
        <v>0</v>
      </c>
      <c r="K84" s="164">
        <f t="shared" si="31"/>
        <v>0</v>
      </c>
      <c r="L84" s="123">
        <f t="shared" si="31"/>
        <v>0</v>
      </c>
      <c r="M84" s="164">
        <f t="shared" si="31"/>
        <v>0</v>
      </c>
    </row>
    <row r="85" spans="1:13" ht="10.5">
      <c r="A85" s="44" t="s">
        <v>307</v>
      </c>
      <c r="B85" s="60"/>
      <c r="C85" s="165"/>
      <c r="D85" s="171"/>
      <c r="E85" s="171"/>
      <c r="F85" s="171"/>
      <c r="G85" s="123">
        <f>+G79-G82</f>
        <v>0</v>
      </c>
      <c r="H85" s="123">
        <f aca="true" t="shared" si="32" ref="H85:M85">+H79-H82</f>
        <v>0</v>
      </c>
      <c r="I85" s="123">
        <f t="shared" si="32"/>
        <v>0</v>
      </c>
      <c r="J85" s="123">
        <f t="shared" si="32"/>
        <v>0</v>
      </c>
      <c r="K85" s="123">
        <f t="shared" si="32"/>
        <v>0</v>
      </c>
      <c r="L85" s="123">
        <f t="shared" si="32"/>
        <v>0</v>
      </c>
      <c r="M85" s="123">
        <f t="shared" si="32"/>
        <v>0</v>
      </c>
    </row>
    <row r="86" spans="1:13" ht="10.5">
      <c r="A86" s="43"/>
      <c r="B86" s="334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0.5">
      <c r="A87" s="43" t="s">
        <v>302</v>
      </c>
      <c r="B87" s="468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0.5">
      <c r="A88" s="43" t="s">
        <v>303</v>
      </c>
      <c r="B88" s="469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0.5">
      <c r="A89" s="43" t="s">
        <v>304</v>
      </c>
      <c r="B89" s="468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0.5">
      <c r="A90" s="43"/>
      <c r="B90" s="35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0.5">
      <c r="A91" s="174">
        <f>+H13</f>
        <v>2026</v>
      </c>
      <c r="B91" s="334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0.5">
      <c r="A92" s="44" t="s">
        <v>305</v>
      </c>
      <c r="B92" s="60"/>
      <c r="C92" s="166">
        <f>+C81</f>
        <v>0</v>
      </c>
      <c r="D92" s="172"/>
      <c r="E92" s="172"/>
      <c r="F92" s="172"/>
      <c r="G92" s="172"/>
      <c r="H92" s="123">
        <f>+H18</f>
        <v>10000000</v>
      </c>
      <c r="I92" s="123">
        <f>+H98</f>
        <v>10000000</v>
      </c>
      <c r="J92" s="123" t="e">
        <f>+I98</f>
        <v>#DIV/0!</v>
      </c>
      <c r="K92" s="123" t="e">
        <f>+J98</f>
        <v>#DIV/0!</v>
      </c>
      <c r="L92" s="123" t="e">
        <f>+K98</f>
        <v>#DIV/0!</v>
      </c>
      <c r="M92" s="123" t="e">
        <f>+L98</f>
        <v>#DIV/0!</v>
      </c>
    </row>
    <row r="93" spans="1:13" ht="10.5">
      <c r="A93" s="44" t="s">
        <v>5</v>
      </c>
      <c r="B93" s="60"/>
      <c r="C93" s="168"/>
      <c r="D93" s="169"/>
      <c r="E93" s="169"/>
      <c r="F93" s="169"/>
      <c r="G93" s="169"/>
      <c r="H93" s="162">
        <f aca="true" t="shared" si="33" ref="H93:M93">$B$88</f>
        <v>0</v>
      </c>
      <c r="I93" s="162">
        <f t="shared" si="33"/>
        <v>0</v>
      </c>
      <c r="J93" s="162">
        <f t="shared" si="33"/>
        <v>0</v>
      </c>
      <c r="K93" s="162">
        <f t="shared" si="33"/>
        <v>0</v>
      </c>
      <c r="L93" s="162">
        <f t="shared" si="33"/>
        <v>0</v>
      </c>
      <c r="M93" s="162">
        <f t="shared" si="33"/>
        <v>0</v>
      </c>
    </row>
    <row r="94" spans="1:13" ht="10.5">
      <c r="A94" s="44" t="s">
        <v>6</v>
      </c>
      <c r="B94" s="60"/>
      <c r="C94" s="170"/>
      <c r="D94" s="171"/>
      <c r="E94" s="171"/>
      <c r="F94" s="171"/>
      <c r="G94" s="171"/>
      <c r="H94" s="123">
        <f aca="true" t="shared" si="34" ref="H94:M94">+H92*H93</f>
        <v>0</v>
      </c>
      <c r="I94" s="123">
        <f t="shared" si="34"/>
        <v>0</v>
      </c>
      <c r="J94" s="123" t="e">
        <f t="shared" si="34"/>
        <v>#DIV/0!</v>
      </c>
      <c r="K94" s="123" t="e">
        <f t="shared" si="34"/>
        <v>#DIV/0!</v>
      </c>
      <c r="L94" s="123" t="e">
        <f t="shared" si="34"/>
        <v>#DIV/0!</v>
      </c>
      <c r="M94" s="123" t="e">
        <f t="shared" si="34"/>
        <v>#DIV/0!</v>
      </c>
    </row>
    <row r="95" spans="1:13" ht="10.5">
      <c r="A95" s="44" t="s">
        <v>7</v>
      </c>
      <c r="B95" s="60"/>
      <c r="C95" s="170"/>
      <c r="D95" s="171"/>
      <c r="E95" s="171"/>
      <c r="F95" s="171"/>
      <c r="G95" s="171"/>
      <c r="H95" s="123">
        <f>IF(B89&gt;=0,0,+H92/B87)</f>
        <v>0</v>
      </c>
      <c r="I95" s="164" t="e">
        <f>IF($B89&gt;=1,0,IF(H98&lt;=0,0,$H$92/B87))</f>
        <v>#DIV/0!</v>
      </c>
      <c r="J95" s="164" t="e">
        <f>IF($B89&gt;=2,0,IF(I98&lt;=0,0,$H$92/$B87))</f>
        <v>#DIV/0!</v>
      </c>
      <c r="K95" s="164" t="e">
        <f>IF($B89&gt;=3,0,IF(J98&lt;=0,0,$H$92/$B87))</f>
        <v>#DIV/0!</v>
      </c>
      <c r="L95" s="164" t="e">
        <f>IF($B89&gt;=4,0,IF(K98&lt;=0,0,$H$92/$B87))</f>
        <v>#DIV/0!</v>
      </c>
      <c r="M95" s="164" t="e">
        <f>IF($B89&gt;=5,0,IF(L98&lt;=0,0,$H$92/$B87))</f>
        <v>#DIV/0!</v>
      </c>
    </row>
    <row r="96" spans="1:13" ht="10.5">
      <c r="A96" s="44" t="s">
        <v>117</v>
      </c>
      <c r="B96" s="60"/>
      <c r="C96" s="170"/>
      <c r="D96" s="171"/>
      <c r="E96" s="171"/>
      <c r="F96" s="171"/>
      <c r="G96" s="171"/>
      <c r="H96" s="123">
        <f aca="true" t="shared" si="35" ref="H96:M96">0.004*H94</f>
        <v>0</v>
      </c>
      <c r="I96" s="123">
        <f t="shared" si="35"/>
        <v>0</v>
      </c>
      <c r="J96" s="123" t="e">
        <f t="shared" si="35"/>
        <v>#DIV/0!</v>
      </c>
      <c r="K96" s="123" t="e">
        <f t="shared" si="35"/>
        <v>#DIV/0!</v>
      </c>
      <c r="L96" s="123" t="e">
        <f t="shared" si="35"/>
        <v>#DIV/0!</v>
      </c>
      <c r="M96" s="123" t="e">
        <f t="shared" si="35"/>
        <v>#DIV/0!</v>
      </c>
    </row>
    <row r="97" spans="1:13" ht="10.5">
      <c r="A97" s="44" t="s">
        <v>306</v>
      </c>
      <c r="B97" s="60"/>
      <c r="C97" s="170"/>
      <c r="D97" s="171"/>
      <c r="E97" s="171"/>
      <c r="F97" s="171"/>
      <c r="G97" s="171"/>
      <c r="H97" s="123">
        <f aca="true" t="shared" si="36" ref="H97:M97">+H94+H95+H96</f>
        <v>0</v>
      </c>
      <c r="I97" s="123" t="e">
        <f t="shared" si="36"/>
        <v>#DIV/0!</v>
      </c>
      <c r="J97" s="123" t="e">
        <f t="shared" si="36"/>
        <v>#DIV/0!</v>
      </c>
      <c r="K97" s="123" t="e">
        <f t="shared" si="36"/>
        <v>#DIV/0!</v>
      </c>
      <c r="L97" s="123" t="e">
        <f t="shared" si="36"/>
        <v>#DIV/0!</v>
      </c>
      <c r="M97" s="123" t="e">
        <f t="shared" si="36"/>
        <v>#DIV/0!</v>
      </c>
    </row>
    <row r="98" spans="1:13" ht="10.5">
      <c r="A98" s="44" t="s">
        <v>307</v>
      </c>
      <c r="B98" s="60"/>
      <c r="C98" s="165"/>
      <c r="D98" s="171"/>
      <c r="E98" s="171"/>
      <c r="F98" s="171"/>
      <c r="G98" s="171"/>
      <c r="H98" s="123">
        <f aca="true" t="shared" si="37" ref="H98:M98">+H92-H95</f>
        <v>10000000</v>
      </c>
      <c r="I98" s="123" t="e">
        <f t="shared" si="37"/>
        <v>#DIV/0!</v>
      </c>
      <c r="J98" s="123" t="e">
        <f t="shared" si="37"/>
        <v>#DIV/0!</v>
      </c>
      <c r="K98" s="123" t="e">
        <f t="shared" si="37"/>
        <v>#DIV/0!</v>
      </c>
      <c r="L98" s="123" t="e">
        <f t="shared" si="37"/>
        <v>#DIV/0!</v>
      </c>
      <c r="M98" s="123" t="e">
        <f t="shared" si="37"/>
        <v>#DIV/0!</v>
      </c>
    </row>
    <row r="99" spans="1:13" ht="10.5">
      <c r="A99" s="43"/>
      <c r="B99" s="334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0.5">
      <c r="A100" s="43"/>
      <c r="B100" s="334"/>
      <c r="C100" s="43"/>
      <c r="D100" s="17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0.5">
      <c r="A101" s="117" t="s">
        <v>308</v>
      </c>
      <c r="B101" s="351"/>
      <c r="C101" s="84">
        <f>+C33+C46+C59+C72+C85+C98</f>
        <v>4000000</v>
      </c>
      <c r="D101" s="84">
        <f>+D33+D46+D59+D72+D85+D98</f>
        <v>4000000</v>
      </c>
      <c r="E101" s="84">
        <f>+E33+E46+E59+E72+E85+E98</f>
        <v>4000000</v>
      </c>
      <c r="F101" s="84">
        <f aca="true" t="shared" si="38" ref="F101:M101">+F33+F46+F59+F72+F85+F98</f>
        <v>2666666.666666667</v>
      </c>
      <c r="G101" s="84">
        <f t="shared" si="38"/>
        <v>1333333.3333333337</v>
      </c>
      <c r="H101" s="84">
        <f t="shared" si="38"/>
        <v>10000000</v>
      </c>
      <c r="I101" s="84" t="e">
        <f t="shared" si="38"/>
        <v>#DIV/0!</v>
      </c>
      <c r="J101" s="84" t="e">
        <f t="shared" si="38"/>
        <v>#DIV/0!</v>
      </c>
      <c r="K101" s="84" t="e">
        <f t="shared" si="38"/>
        <v>#DIV/0!</v>
      </c>
      <c r="L101" s="84" t="e">
        <f t="shared" si="38"/>
        <v>#DIV/0!</v>
      </c>
      <c r="M101" s="84" t="e">
        <f t="shared" si="38"/>
        <v>#DIV/0!</v>
      </c>
    </row>
    <row r="102" spans="1:13" ht="10.5">
      <c r="A102" s="43"/>
      <c r="B102" s="334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0.5">
      <c r="A103" s="117" t="s">
        <v>309</v>
      </c>
      <c r="B103" s="351"/>
      <c r="C103" s="84">
        <f>+C29+C42+C55+C68+C81+C94+C31+C44+C57+C70+C83+C96</f>
        <v>240960</v>
      </c>
      <c r="D103" s="84">
        <f>+D29+D42+D55+D68+D81+D94+D31+D44+D57+D70+D83+D96</f>
        <v>481920</v>
      </c>
      <c r="E103" s="84">
        <f>+E29+E42+E55+E68+E81+E94+E31+E44+E57+E70+E83+E96</f>
        <v>481920</v>
      </c>
      <c r="F103" s="84">
        <f aca="true" t="shared" si="39" ref="F103:M103">+F29+F42+F55+F68+F81+F94+F31+F44+F57+F70+F83+F96</f>
        <v>481920</v>
      </c>
      <c r="G103" s="84">
        <f t="shared" si="39"/>
        <v>321280</v>
      </c>
      <c r="H103" s="84">
        <f t="shared" si="39"/>
        <v>160640.00000000003</v>
      </c>
      <c r="I103" s="84">
        <f t="shared" si="39"/>
        <v>0</v>
      </c>
      <c r="J103" s="84" t="e">
        <f t="shared" si="39"/>
        <v>#DIV/0!</v>
      </c>
      <c r="K103" s="84" t="e">
        <f t="shared" si="39"/>
        <v>#DIV/0!</v>
      </c>
      <c r="L103" s="84" t="e">
        <f t="shared" si="39"/>
        <v>#DIV/0!</v>
      </c>
      <c r="M103" s="84" t="e">
        <f t="shared" si="39"/>
        <v>#DIV/0!</v>
      </c>
    </row>
    <row r="104" spans="1:13" ht="10.5">
      <c r="A104" s="117" t="s">
        <v>86</v>
      </c>
      <c r="B104" s="351"/>
      <c r="C104" s="84">
        <f>+C30+C43+C56+C69+C82+C95</f>
        <v>0</v>
      </c>
      <c r="D104" s="84">
        <f>+D30+D43+D56+D69+D82+D95</f>
        <v>0</v>
      </c>
      <c r="E104" s="84">
        <f>+E30+E43+E56+E69+E82+E95</f>
        <v>0</v>
      </c>
      <c r="F104" s="84">
        <f aca="true" t="shared" si="40" ref="F104:M104">+F30+F43+F56+F69+F82+F95</f>
        <v>1333333.3333333333</v>
      </c>
      <c r="G104" s="84">
        <f t="shared" si="40"/>
        <v>1333333.3333333333</v>
      </c>
      <c r="H104" s="84">
        <f t="shared" si="40"/>
        <v>1333333.3333333333</v>
      </c>
      <c r="I104" s="84" t="e">
        <f t="shared" si="40"/>
        <v>#DIV/0!</v>
      </c>
      <c r="J104" s="84" t="e">
        <f t="shared" si="40"/>
        <v>#DIV/0!</v>
      </c>
      <c r="K104" s="84" t="e">
        <f t="shared" si="40"/>
        <v>#DIV/0!</v>
      </c>
      <c r="L104" s="84" t="e">
        <f t="shared" si="40"/>
        <v>#DIV/0!</v>
      </c>
      <c r="M104" s="84" t="e">
        <f t="shared" si="40"/>
        <v>#DIV/0!</v>
      </c>
    </row>
    <row r="106" spans="5:13" ht="10.5">
      <c r="E106" s="133"/>
      <c r="F106" s="133"/>
      <c r="G106" s="133"/>
      <c r="H106" s="133"/>
      <c r="I106" s="133"/>
      <c r="J106" s="133"/>
      <c r="K106" s="133"/>
      <c r="L106" s="133"/>
      <c r="M106" s="133"/>
    </row>
  </sheetData>
  <sheetProtection password="8318" sheet="1"/>
  <mergeCells count="2">
    <mergeCell ref="A4:M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35196</cp:lastModifiedBy>
  <cp:lastPrinted>2010-02-23T17:34:21Z</cp:lastPrinted>
  <dcterms:created xsi:type="dcterms:W3CDTF">2004-06-30T10:12:30Z</dcterms:created>
  <dcterms:modified xsi:type="dcterms:W3CDTF">2021-10-13T17:34:40Z</dcterms:modified>
  <cp:category/>
  <cp:version/>
  <cp:contentType/>
  <cp:contentStatus/>
</cp:coreProperties>
</file>